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C:\Users\Track Computers\Downloads\"/>
    </mc:Choice>
  </mc:AlternateContent>
  <xr:revisionPtr revIDLastSave="0" documentId="13_ncr:1_{0592CC2C-7AE0-419B-92A2-1B82752BFFF5}" xr6:coauthVersionLast="47" xr6:coauthVersionMax="47" xr10:uidLastSave="{00000000-0000-0000-0000-000000000000}"/>
  <bookViews>
    <workbookView xWindow="-120" yWindow="-120" windowWidth="20730" windowHeight="11310" firstSheet="10" activeTab="14" xr2:uid="{00000000-000D-0000-FFFF-FFFF00000000}"/>
  </bookViews>
  <sheets>
    <sheet name="Overview" sheetId="1" r:id="rId1"/>
    <sheet name="summary-staging" sheetId="2" state="hidden" r:id="rId2"/>
    <sheet name="rankings-1" sheetId="3" state="hidden" r:id="rId3"/>
    <sheet name="rankings-2" sheetId="4" state="hidden" r:id="rId4"/>
    <sheet name="On-Page SEO" sheetId="5" r:id="rId5"/>
    <sheet name="Redirect Chains" sheetId="6" r:id="rId6"/>
    <sheet name="URL Equity" sheetId="7" r:id="rId7"/>
    <sheet name="Comparison" sheetId="8" r:id="rId8"/>
    <sheet name="Content Audit" sheetId="9" r:id="rId9"/>
    <sheet name="PageSpeedSchema" sheetId="10" r:id="rId10"/>
    <sheet name="Keyword Gap" sheetId="11" r:id="rId11"/>
    <sheet name="Backlink Gap" sheetId="12" r:id="rId12"/>
    <sheet name="Keywords" sheetId="13" r:id="rId13"/>
    <sheet name="SEO Installation" sheetId="14" r:id="rId14"/>
    <sheet name="Redirect Mapping" sheetId="15"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99" i="13" l="1"/>
  <c r="J498" i="13"/>
  <c r="J497" i="13"/>
  <c r="J496" i="13"/>
  <c r="J495" i="13"/>
  <c r="J494" i="13"/>
  <c r="J487" i="13"/>
  <c r="J486" i="13"/>
  <c r="J485" i="13"/>
  <c r="J484" i="13"/>
  <c r="J483" i="13"/>
  <c r="J482" i="13"/>
  <c r="J481" i="13"/>
  <c r="J480" i="13"/>
  <c r="J479" i="13"/>
  <c r="J478" i="13"/>
  <c r="J477" i="13"/>
  <c r="J476" i="13"/>
  <c r="J475" i="13"/>
  <c r="J474" i="13"/>
  <c r="J473" i="13"/>
  <c r="J416" i="13"/>
  <c r="J415" i="13"/>
  <c r="J414" i="13"/>
  <c r="J413" i="13"/>
  <c r="J412" i="13"/>
  <c r="J411" i="13"/>
  <c r="J410" i="13"/>
  <c r="J409" i="13"/>
  <c r="J408" i="13"/>
  <c r="J407" i="13"/>
  <c r="J406" i="13"/>
  <c r="J405" i="13"/>
  <c r="J404" i="13"/>
  <c r="J403" i="13"/>
  <c r="J402" i="13"/>
  <c r="J401" i="13"/>
  <c r="J400" i="13"/>
  <c r="J399" i="13"/>
  <c r="J398" i="13"/>
  <c r="J397" i="13"/>
  <c r="J396" i="13"/>
  <c r="J395" i="13"/>
  <c r="J378" i="13"/>
  <c r="J377" i="13"/>
  <c r="J376" i="13"/>
  <c r="J375" i="13"/>
  <c r="J374" i="13"/>
  <c r="J373" i="13"/>
  <c r="J372" i="13"/>
  <c r="J371" i="13"/>
  <c r="J370" i="13"/>
  <c r="J369" i="13"/>
  <c r="J368" i="13"/>
  <c r="J367" i="13"/>
  <c r="J366" i="13"/>
  <c r="J365" i="13"/>
  <c r="J364" i="13"/>
  <c r="J363" i="13"/>
  <c r="J362" i="13"/>
  <c r="J361" i="13"/>
  <c r="J343" i="13"/>
  <c r="J342" i="13"/>
  <c r="J341" i="13"/>
  <c r="J340" i="13"/>
  <c r="J339" i="13"/>
  <c r="J338" i="13"/>
  <c r="J337" i="13"/>
  <c r="J336" i="13"/>
  <c r="J335" i="13"/>
  <c r="J334" i="13"/>
  <c r="J333" i="13"/>
  <c r="J332" i="13"/>
  <c r="J331" i="13"/>
  <c r="J330" i="13"/>
  <c r="J329" i="13"/>
  <c r="J317" i="13"/>
  <c r="J316" i="13"/>
  <c r="J315" i="13"/>
  <c r="J314" i="13"/>
  <c r="J313" i="13"/>
  <c r="J312" i="13"/>
  <c r="J311" i="13"/>
  <c r="J310" i="13"/>
  <c r="J309" i="13"/>
  <c r="J308" i="13"/>
  <c r="J307" i="13"/>
  <c r="J306" i="13"/>
  <c r="J305" i="13"/>
  <c r="J304" i="13"/>
  <c r="J303" i="13"/>
  <c r="J302" i="13"/>
  <c r="J301" i="13"/>
  <c r="J300" i="13"/>
  <c r="J299" i="13"/>
  <c r="J298" i="13"/>
  <c r="J297" i="13"/>
  <c r="J296" i="13"/>
  <c r="J295" i="13"/>
  <c r="J294" i="13"/>
  <c r="J293" i="13"/>
  <c r="J292" i="13"/>
  <c r="J284" i="13"/>
  <c r="J283" i="13"/>
  <c r="J282" i="13"/>
  <c r="J281" i="13"/>
  <c r="J280" i="13"/>
  <c r="J279" i="13"/>
  <c r="J278" i="13"/>
  <c r="J277" i="13"/>
  <c r="J276" i="13"/>
  <c r="J271" i="13"/>
  <c r="J270" i="13"/>
  <c r="J269" i="13"/>
  <c r="J268" i="13"/>
  <c r="J267" i="13"/>
  <c r="J266" i="13"/>
  <c r="J265" i="13"/>
  <c r="J264" i="13"/>
  <c r="J263" i="13"/>
  <c r="J262" i="13"/>
  <c r="J261" i="13"/>
  <c r="J260" i="13"/>
  <c r="J255" i="13"/>
  <c r="J254" i="13"/>
  <c r="J253" i="13"/>
  <c r="J252" i="13"/>
  <c r="J251" i="13"/>
  <c r="J250" i="13"/>
  <c r="J249" i="13"/>
  <c r="J248" i="13"/>
  <c r="J247" i="13"/>
  <c r="J240" i="13"/>
  <c r="J239" i="13"/>
  <c r="J238" i="13"/>
  <c r="J237" i="13"/>
  <c r="J236" i="13"/>
  <c r="J235" i="13"/>
  <c r="J229" i="13"/>
  <c r="J228" i="13"/>
  <c r="J227" i="13"/>
  <c r="J226" i="13"/>
  <c r="J225" i="13"/>
  <c r="J224" i="13"/>
  <c r="J223" i="13"/>
  <c r="J220" i="13"/>
  <c r="J219" i="13"/>
  <c r="J218" i="13"/>
  <c r="J212" i="13"/>
  <c r="J211" i="13"/>
  <c r="J210" i="13"/>
  <c r="J209" i="13"/>
  <c r="J208" i="13"/>
  <c r="J207" i="13"/>
  <c r="J206" i="13"/>
  <c r="J205" i="13"/>
  <c r="J200" i="13"/>
  <c r="J199" i="13"/>
  <c r="J195" i="13"/>
  <c r="J194" i="13"/>
  <c r="J193" i="13"/>
  <c r="J192" i="13"/>
  <c r="J191" i="13"/>
  <c r="J190" i="13"/>
  <c r="J189" i="13"/>
  <c r="J188" i="13"/>
  <c r="J187" i="13"/>
  <c r="J183" i="13"/>
  <c r="J182" i="13"/>
  <c r="J181" i="13"/>
  <c r="J180" i="13"/>
  <c r="J179" i="13"/>
  <c r="J176" i="13"/>
  <c r="J175" i="13"/>
  <c r="J174" i="13"/>
  <c r="J173" i="13"/>
  <c r="J172" i="13"/>
  <c r="J171" i="13"/>
  <c r="J170" i="13"/>
  <c r="J169" i="13"/>
  <c r="J167" i="13"/>
  <c r="J166" i="13"/>
  <c r="J162" i="13"/>
  <c r="J161" i="13"/>
  <c r="J160" i="13"/>
  <c r="J159" i="13"/>
  <c r="J155" i="13"/>
  <c r="J154" i="13"/>
  <c r="J153" i="13"/>
  <c r="J152" i="13"/>
  <c r="J151" i="13"/>
  <c r="J150" i="13"/>
  <c r="J149" i="13"/>
  <c r="J148" i="13"/>
  <c r="J146" i="13"/>
  <c r="J145" i="13"/>
  <c r="J144" i="13"/>
  <c r="J143" i="13"/>
  <c r="J142" i="13"/>
  <c r="J140" i="13"/>
  <c r="J137" i="13"/>
  <c r="J135" i="13"/>
  <c r="J134" i="13"/>
  <c r="J133" i="13"/>
  <c r="J132" i="13"/>
  <c r="J131" i="13"/>
  <c r="J130" i="13"/>
  <c r="J129" i="13"/>
  <c r="J128" i="13"/>
  <c r="J127" i="13"/>
  <c r="J124" i="13"/>
  <c r="J123" i="13"/>
  <c r="J118" i="13"/>
  <c r="J117" i="13"/>
  <c r="J116" i="13"/>
  <c r="J112" i="13"/>
  <c r="J111" i="13"/>
  <c r="J110" i="13"/>
  <c r="J109" i="13"/>
  <c r="J108" i="13"/>
  <c r="J103" i="13"/>
  <c r="J102" i="13"/>
  <c r="J97" i="13"/>
  <c r="J96" i="13"/>
  <c r="J95" i="13"/>
  <c r="J94" i="13"/>
  <c r="J93" i="13"/>
  <c r="J90" i="13"/>
  <c r="J89" i="13"/>
  <c r="J86" i="13"/>
  <c r="J84" i="13"/>
  <c r="J82" i="13"/>
  <c r="J81" i="13"/>
  <c r="J80" i="13"/>
  <c r="J78" i="13"/>
  <c r="J77" i="13"/>
  <c r="J74" i="13"/>
  <c r="J72" i="13"/>
  <c r="J69" i="13"/>
  <c r="J68" i="13"/>
  <c r="J67" i="13"/>
  <c r="J66" i="13"/>
  <c r="J65" i="13"/>
  <c r="J62" i="13"/>
  <c r="J60" i="13"/>
  <c r="J59" i="13"/>
  <c r="J58" i="13"/>
  <c r="J57" i="13"/>
  <c r="J56" i="13"/>
  <c r="J55" i="13"/>
  <c r="J54" i="13"/>
  <c r="J52" i="13"/>
  <c r="J51" i="13"/>
  <c r="J50" i="13"/>
  <c r="J49" i="13"/>
  <c r="J47" i="13"/>
  <c r="J46" i="13"/>
  <c r="J45" i="13"/>
  <c r="J44" i="13"/>
  <c r="J43" i="13"/>
  <c r="J42" i="13"/>
  <c r="J40" i="13"/>
  <c r="J39" i="13"/>
  <c r="J37" i="13"/>
  <c r="J36" i="13"/>
  <c r="J35" i="13"/>
  <c r="J34" i="13"/>
  <c r="J33" i="13"/>
  <c r="J32" i="13"/>
  <c r="J31" i="13"/>
  <c r="J30" i="13"/>
  <c r="J28" i="13"/>
  <c r="J27" i="13"/>
  <c r="J26" i="13"/>
  <c r="J25" i="13"/>
  <c r="J23" i="13"/>
  <c r="J22" i="13"/>
  <c r="J21" i="13"/>
  <c r="J20" i="13"/>
  <c r="J19" i="13"/>
  <c r="J18" i="13"/>
  <c r="J17" i="13"/>
  <c r="J16" i="13"/>
  <c r="J15" i="13"/>
  <c r="J13" i="13"/>
  <c r="J12" i="13"/>
  <c r="J11" i="13"/>
  <c r="J10" i="13"/>
  <c r="J9" i="13"/>
  <c r="J8" i="13"/>
  <c r="J7" i="13"/>
  <c r="J6" i="13"/>
  <c r="J5" i="13"/>
  <c r="J4" i="13"/>
  <c r="J3" i="13"/>
  <c r="J2" i="13"/>
  <c r="G55" i="11"/>
  <c r="G54" i="11"/>
  <c r="G53" i="11"/>
  <c r="G47" i="11"/>
  <c r="G46" i="11"/>
  <c r="G37" i="11"/>
  <c r="G22" i="11"/>
  <c r="G20" i="11"/>
  <c r="G17" i="11"/>
  <c r="G16" i="10"/>
  <c r="O9" i="10"/>
  <c r="G9" i="10"/>
  <c r="B7" i="10"/>
  <c r="U1" i="9"/>
  <c r="Q1" i="9"/>
  <c r="M1" i="9"/>
  <c r="I1" i="9"/>
  <c r="E1" i="9"/>
  <c r="C61" i="8"/>
  <c r="C52" i="8"/>
  <c r="C51" i="8"/>
  <c r="C50" i="8"/>
  <c r="C38" i="8"/>
  <c r="C37" i="8"/>
  <c r="C36" i="8"/>
  <c r="C35" i="8"/>
  <c r="C34" i="8"/>
  <c r="C1" i="8"/>
  <c r="A496" i="5"/>
  <c r="A495" i="5"/>
  <c r="A494" i="5"/>
  <c r="A493" i="5"/>
  <c r="A492" i="5"/>
  <c r="A491" i="5"/>
  <c r="A490" i="5"/>
  <c r="A489" i="5"/>
  <c r="A488" i="5"/>
  <c r="A487" i="5"/>
  <c r="A440" i="5"/>
  <c r="A346" i="5"/>
  <c r="A314" i="5"/>
  <c r="A288" i="5"/>
  <c r="A221" i="5"/>
  <c r="A64" i="5"/>
  <c r="A54" i="5"/>
  <c r="A33" i="5"/>
  <c r="A31" i="5"/>
  <c r="A12" i="5"/>
  <c r="A10" i="5"/>
  <c r="A1154" i="7"/>
  <c r="A1152" i="7"/>
  <c r="A1151" i="7"/>
  <c r="A1150" i="7"/>
  <c r="A1149" i="7"/>
  <c r="A1147" i="7"/>
  <c r="A1146" i="7"/>
  <c r="A1100" i="7"/>
  <c r="A1094" i="7"/>
  <c r="A1093" i="7"/>
  <c r="A1090" i="7"/>
  <c r="A1089" i="7"/>
  <c r="A1088" i="7"/>
  <c r="A1087" i="7"/>
  <c r="A1086" i="7"/>
  <c r="A1085" i="7"/>
  <c r="A1084" i="7"/>
  <c r="A1083" i="7"/>
  <c r="A1082" i="7"/>
  <c r="A1081" i="7"/>
  <c r="A1080" i="7"/>
  <c r="A1079" i="7"/>
  <c r="A1078" i="7"/>
  <c r="A1077" i="7"/>
  <c r="A1076" i="7"/>
  <c r="A1074" i="7"/>
  <c r="A1072" i="7"/>
  <c r="A1071" i="7"/>
  <c r="A1053" i="7"/>
  <c r="A1052" i="7"/>
  <c r="A1051" i="7"/>
  <c r="A1049" i="7"/>
  <c r="A1047" i="7"/>
  <c r="A1045" i="7"/>
  <c r="A1044" i="7"/>
  <c r="A1043" i="7"/>
  <c r="A1041" i="7"/>
  <c r="A1040" i="7"/>
  <c r="A1039" i="7"/>
  <c r="A1038" i="7"/>
  <c r="A1037" i="7"/>
  <c r="A1036" i="7"/>
  <c r="A1035" i="7"/>
  <c r="A1034" i="7"/>
  <c r="A1033" i="7"/>
  <c r="A1032" i="7"/>
  <c r="A1031" i="7"/>
  <c r="A1030" i="7"/>
  <c r="A1029" i="7"/>
  <c r="A1028" i="7"/>
  <c r="A1027" i="7"/>
  <c r="A1026" i="7"/>
  <c r="A1025" i="7"/>
  <c r="A1024" i="7"/>
  <c r="A1023" i="7"/>
  <c r="A1022" i="7"/>
  <c r="A1021" i="7"/>
  <c r="A1020" i="7"/>
  <c r="A1019" i="7"/>
  <c r="A1018" i="7"/>
  <c r="A1017" i="7"/>
  <c r="A1016" i="7"/>
  <c r="A1015" i="7"/>
  <c r="A1014" i="7"/>
  <c r="A1013" i="7"/>
  <c r="A1012" i="7"/>
  <c r="A1011" i="7"/>
  <c r="A1010" i="7"/>
  <c r="A1009" i="7"/>
  <c r="A1008" i="7"/>
  <c r="A1007" i="7"/>
  <c r="A1006" i="7"/>
  <c r="A1005" i="7"/>
  <c r="A1004" i="7"/>
  <c r="A1003" i="7"/>
  <c r="A1000" i="7"/>
  <c r="A997" i="7"/>
  <c r="A996" i="7"/>
  <c r="A992" i="7"/>
  <c r="A990" i="7"/>
  <c r="A987" i="7"/>
  <c r="A985" i="7"/>
  <c r="A983" i="7"/>
  <c r="A979" i="7"/>
  <c r="A978" i="7"/>
  <c r="A974" i="7"/>
  <c r="A973" i="7"/>
  <c r="A970" i="7"/>
  <c r="A969" i="7"/>
  <c r="A968" i="7"/>
  <c r="A967" i="7"/>
  <c r="A966" i="7"/>
  <c r="A965" i="7"/>
  <c r="A961" i="7"/>
  <c r="A959" i="7"/>
  <c r="A958" i="7"/>
  <c r="A957" i="7"/>
  <c r="A956" i="7"/>
  <c r="A954" i="7"/>
  <c r="A953" i="7"/>
  <c r="A948" i="7"/>
  <c r="A947" i="7"/>
  <c r="A945" i="7"/>
  <c r="A944" i="7"/>
  <c r="A942" i="7"/>
  <c r="A938" i="7"/>
  <c r="A936" i="7"/>
  <c r="A935" i="7"/>
  <c r="A934" i="7"/>
  <c r="A933" i="7"/>
  <c r="A930" i="7"/>
  <c r="A928" i="7"/>
  <c r="A923" i="7"/>
  <c r="A922" i="7"/>
  <c r="A921" i="7"/>
  <c r="A920" i="7"/>
  <c r="A916" i="7"/>
  <c r="A915" i="7"/>
  <c r="A911" i="7"/>
  <c r="A910" i="7"/>
  <c r="A909" i="7"/>
  <c r="A908" i="7"/>
  <c r="A906" i="7"/>
  <c r="A902" i="7"/>
  <c r="A901" i="7"/>
  <c r="A897" i="7"/>
  <c r="A895" i="7"/>
  <c r="A894" i="7"/>
  <c r="A889" i="7"/>
  <c r="A888" i="7"/>
  <c r="A887" i="7"/>
  <c r="A885" i="7"/>
  <c r="A884" i="7"/>
  <c r="A883" i="7"/>
  <c r="A882" i="7"/>
  <c r="A881" i="7"/>
  <c r="A880" i="7"/>
  <c r="A879" i="7"/>
  <c r="A878" i="7"/>
  <c r="A877" i="7"/>
  <c r="A875" i="7"/>
  <c r="A874" i="7"/>
  <c r="A873" i="7"/>
  <c r="A872" i="7"/>
  <c r="A870" i="7"/>
  <c r="A869" i="7"/>
  <c r="A868" i="7"/>
  <c r="A848" i="7"/>
  <c r="A847" i="7"/>
  <c r="A846" i="7"/>
  <c r="A845" i="7"/>
  <c r="A842" i="7"/>
  <c r="A840" i="7"/>
  <c r="A837" i="7"/>
  <c r="A835" i="7"/>
  <c r="A834" i="7"/>
  <c r="A833" i="7"/>
  <c r="A831" i="7"/>
  <c r="A821" i="7"/>
  <c r="A820" i="7"/>
  <c r="A815" i="7"/>
  <c r="A813" i="7"/>
  <c r="A812" i="7"/>
  <c r="A811" i="7"/>
  <c r="A810" i="7"/>
  <c r="A809" i="7"/>
  <c r="A808" i="7"/>
  <c r="A807" i="7"/>
  <c r="A806" i="7"/>
  <c r="A803" i="7"/>
  <c r="A801" i="7"/>
  <c r="A800" i="7"/>
  <c r="A799" i="7"/>
  <c r="A798" i="7"/>
  <c r="A797" i="7"/>
  <c r="A795" i="7"/>
  <c r="A794" i="7"/>
  <c r="A793" i="7"/>
  <c r="A792" i="7"/>
  <c r="A791" i="7"/>
  <c r="A790" i="7"/>
  <c r="A789" i="7"/>
  <c r="A788" i="7"/>
  <c r="A787" i="7"/>
  <c r="A786" i="7"/>
  <c r="A785" i="7"/>
  <c r="A784" i="7"/>
  <c r="A783" i="7"/>
  <c r="A782" i="7"/>
  <c r="A781" i="7"/>
  <c r="A780" i="7"/>
  <c r="A779" i="7"/>
  <c r="A778" i="7"/>
  <c r="A777" i="7"/>
  <c r="A776" i="7"/>
  <c r="A775" i="7"/>
  <c r="A774" i="7"/>
  <c r="A773" i="7"/>
  <c r="A772" i="7"/>
  <c r="A771" i="7"/>
  <c r="A770" i="7"/>
  <c r="A769" i="7"/>
  <c r="A768" i="7"/>
  <c r="A767" i="7"/>
  <c r="A766" i="7"/>
  <c r="A765" i="7"/>
  <c r="A764" i="7"/>
  <c r="A763" i="7"/>
  <c r="A762" i="7"/>
  <c r="A761" i="7"/>
  <c r="A760" i="7"/>
  <c r="A759" i="7"/>
  <c r="A758" i="7"/>
  <c r="A757" i="7"/>
  <c r="A756" i="7"/>
  <c r="A755" i="7"/>
  <c r="A754" i="7"/>
  <c r="A753" i="7"/>
  <c r="A752" i="7"/>
  <c r="A751" i="7"/>
  <c r="A750" i="7"/>
  <c r="A749" i="7"/>
  <c r="A748" i="7"/>
  <c r="A746" i="7"/>
  <c r="A745" i="7"/>
  <c r="A744" i="7"/>
  <c r="A743" i="7"/>
  <c r="A741" i="7"/>
  <c r="A740" i="7"/>
  <c r="A739" i="7"/>
  <c r="A738" i="7"/>
  <c r="A737" i="7"/>
  <c r="A735" i="7"/>
  <c r="A731" i="7"/>
  <c r="A730" i="7"/>
  <c r="A729" i="7"/>
  <c r="A728" i="7"/>
  <c r="A727" i="7"/>
  <c r="A726" i="7"/>
  <c r="A725" i="7"/>
  <c r="A724" i="7"/>
  <c r="A723" i="7"/>
  <c r="A722" i="7"/>
  <c r="A721" i="7"/>
  <c r="A720" i="7"/>
  <c r="A719" i="7"/>
  <c r="A718" i="7"/>
  <c r="A717" i="7"/>
  <c r="A716" i="7"/>
  <c r="A715" i="7"/>
  <c r="A714" i="7"/>
  <c r="A713" i="7"/>
  <c r="A712" i="7"/>
  <c r="A711" i="7"/>
  <c r="A710" i="7"/>
  <c r="A709" i="7"/>
  <c r="A708" i="7"/>
  <c r="A707" i="7"/>
  <c r="A706" i="7"/>
  <c r="A705" i="7"/>
  <c r="A704" i="7"/>
  <c r="A703" i="7"/>
  <c r="A702" i="7"/>
  <c r="A701" i="7"/>
  <c r="A700" i="7"/>
  <c r="A699" i="7"/>
  <c r="A697" i="7"/>
  <c r="A696" i="7"/>
  <c r="A695" i="7"/>
  <c r="A694" i="7"/>
  <c r="A693" i="7"/>
  <c r="A692" i="7"/>
  <c r="A691" i="7"/>
  <c r="A690" i="7"/>
  <c r="A689" i="7"/>
  <c r="A688" i="7"/>
  <c r="A687" i="7"/>
  <c r="A686" i="7"/>
  <c r="A685" i="7"/>
  <c r="A684" i="7"/>
  <c r="A683" i="7"/>
  <c r="A682" i="7"/>
  <c r="A681" i="7"/>
  <c r="A680" i="7"/>
  <c r="A679" i="7"/>
  <c r="A678" i="7"/>
  <c r="A677" i="7"/>
  <c r="A676" i="7"/>
  <c r="A675" i="7"/>
  <c r="A674" i="7"/>
  <c r="A673" i="7"/>
  <c r="A672" i="7"/>
  <c r="A671" i="7"/>
  <c r="A670" i="7"/>
  <c r="A669" i="7"/>
  <c r="A668" i="7"/>
  <c r="A667" i="7"/>
  <c r="A666" i="7"/>
  <c r="A665" i="7"/>
  <c r="A664" i="7"/>
  <c r="A663" i="7"/>
  <c r="A662" i="7"/>
  <c r="A661" i="7"/>
  <c r="A660" i="7"/>
  <c r="A659" i="7"/>
  <c r="A658" i="7"/>
  <c r="A657" i="7"/>
  <c r="A656" i="7"/>
  <c r="A655" i="7"/>
  <c r="A654" i="7"/>
  <c r="A653" i="7"/>
  <c r="A652" i="7"/>
  <c r="A651" i="7"/>
  <c r="A650" i="7"/>
  <c r="A649" i="7"/>
  <c r="A648" i="7"/>
  <c r="A647" i="7"/>
  <c r="A646" i="7"/>
  <c r="A645" i="7"/>
  <c r="A644" i="7"/>
  <c r="A643" i="7"/>
  <c r="A642" i="7"/>
  <c r="A641" i="7"/>
  <c r="A640" i="7"/>
  <c r="A639" i="7"/>
  <c r="A638" i="7"/>
  <c r="A637" i="7"/>
  <c r="A636" i="7"/>
  <c r="A635" i="7"/>
  <c r="A634" i="7"/>
  <c r="A633" i="7"/>
  <c r="A632" i="7"/>
  <c r="A631" i="7"/>
  <c r="A630" i="7"/>
  <c r="A629" i="7"/>
  <c r="A628" i="7"/>
  <c r="A627" i="7"/>
  <c r="A626" i="7"/>
  <c r="A625" i="7"/>
  <c r="A624" i="7"/>
  <c r="A623" i="7"/>
  <c r="A622" i="7"/>
  <c r="A621" i="7"/>
  <c r="A620" i="7"/>
  <c r="A619" i="7"/>
  <c r="A618" i="7"/>
  <c r="A617" i="7"/>
  <c r="A616" i="7"/>
  <c r="A615" i="7"/>
  <c r="A614" i="7"/>
  <c r="A613" i="7"/>
  <c r="A612" i="7"/>
  <c r="A611" i="7"/>
  <c r="A610" i="7"/>
  <c r="A609" i="7"/>
  <c r="A608" i="7"/>
  <c r="A607" i="7"/>
  <c r="A606" i="7"/>
  <c r="A605" i="7"/>
  <c r="A604" i="7"/>
  <c r="A603" i="7"/>
  <c r="A602" i="7"/>
  <c r="A601" i="7"/>
  <c r="A600" i="7"/>
  <c r="A599" i="7"/>
  <c r="A598" i="7"/>
  <c r="A597" i="7"/>
  <c r="A596" i="7"/>
  <c r="A595" i="7"/>
  <c r="A594" i="7"/>
  <c r="A593" i="7"/>
  <c r="A592" i="7"/>
  <c r="A591" i="7"/>
  <c r="A590" i="7"/>
  <c r="A589" i="7"/>
  <c r="A588" i="7"/>
  <c r="A587" i="7"/>
  <c r="A586" i="7"/>
  <c r="A585" i="7"/>
  <c r="A584" i="7"/>
  <c r="A583" i="7"/>
  <c r="A582" i="7"/>
  <c r="A581" i="7"/>
  <c r="A580" i="7"/>
  <c r="A579" i="7"/>
  <c r="A578" i="7"/>
  <c r="A577" i="7"/>
  <c r="A576" i="7"/>
  <c r="A575" i="7"/>
  <c r="A574" i="7"/>
  <c r="A573" i="7"/>
  <c r="A572" i="7"/>
  <c r="A571" i="7"/>
  <c r="A570" i="7"/>
  <c r="A569" i="7"/>
  <c r="A568" i="7"/>
  <c r="A567" i="7"/>
  <c r="A566" i="7"/>
  <c r="A565" i="7"/>
  <c r="A564" i="7"/>
  <c r="A563" i="7"/>
  <c r="A562" i="7"/>
  <c r="A561" i="7"/>
  <c r="A560" i="7"/>
  <c r="A559" i="7"/>
  <c r="A558" i="7"/>
  <c r="A557" i="7"/>
  <c r="A556" i="7"/>
  <c r="A555" i="7"/>
  <c r="A554" i="7"/>
  <c r="A553" i="7"/>
  <c r="A552" i="7"/>
  <c r="A551" i="7"/>
  <c r="A550" i="7"/>
  <c r="A549" i="7"/>
  <c r="A548" i="7"/>
  <c r="A547" i="7"/>
  <c r="A546" i="7"/>
  <c r="A545" i="7"/>
  <c r="A544" i="7"/>
  <c r="A543" i="7"/>
  <c r="A542" i="7"/>
  <c r="A541" i="7"/>
  <c r="A540" i="7"/>
  <c r="A539" i="7"/>
  <c r="A538" i="7"/>
  <c r="A537" i="7"/>
  <c r="A536" i="7"/>
  <c r="A535" i="7"/>
  <c r="A534" i="7"/>
  <c r="A533" i="7"/>
  <c r="A532" i="7"/>
  <c r="A531" i="7"/>
  <c r="A530" i="7"/>
  <c r="A529" i="7"/>
  <c r="A528" i="7"/>
  <c r="A527" i="7"/>
  <c r="A526" i="7"/>
  <c r="A525" i="7"/>
  <c r="A524" i="7"/>
  <c r="A522" i="7"/>
  <c r="A1345" i="7"/>
  <c r="A1344" i="7"/>
  <c r="A1343" i="7"/>
  <c r="A1342" i="7"/>
  <c r="A1341" i="7"/>
  <c r="A1340" i="7"/>
  <c r="A1339" i="7"/>
  <c r="A1338" i="7"/>
  <c r="A1337" i="7"/>
  <c r="A1336" i="7"/>
  <c r="A1335" i="7"/>
  <c r="A1334" i="7"/>
  <c r="A1333" i="7"/>
  <c r="A1332" i="7"/>
  <c r="A1331" i="7"/>
  <c r="A1330" i="7"/>
  <c r="A1329" i="7"/>
  <c r="A1328" i="7"/>
  <c r="A1327" i="7"/>
  <c r="A1326" i="7"/>
  <c r="A1325" i="7"/>
  <c r="A1324" i="7"/>
  <c r="A1323" i="7"/>
  <c r="A1322" i="7"/>
  <c r="A1321" i="7"/>
  <c r="A1320" i="7"/>
  <c r="A1319" i="7"/>
  <c r="A1318" i="7"/>
  <c r="A1317" i="7"/>
  <c r="A1316" i="7"/>
  <c r="A1315" i="7"/>
  <c r="A1314" i="7"/>
  <c r="A1313" i="7"/>
  <c r="A1312" i="7"/>
  <c r="A1311" i="7"/>
  <c r="A1310" i="7"/>
  <c r="A1309" i="7"/>
  <c r="A1308" i="7"/>
  <c r="A1307" i="7"/>
  <c r="A1306" i="7"/>
  <c r="A1305" i="7"/>
  <c r="A1304" i="7"/>
  <c r="A1303" i="7"/>
  <c r="A1302" i="7"/>
  <c r="A1301" i="7"/>
  <c r="A1300" i="7"/>
  <c r="A1299" i="7"/>
  <c r="A1298" i="7"/>
  <c r="A1297" i="7"/>
  <c r="A1296" i="7"/>
  <c r="A1295" i="7"/>
  <c r="A1294" i="7"/>
  <c r="A1293" i="7"/>
  <c r="A1292" i="7"/>
  <c r="A1291" i="7"/>
  <c r="A1290" i="7"/>
  <c r="A1289" i="7"/>
  <c r="A1288" i="7"/>
  <c r="A1287" i="7"/>
  <c r="A1286" i="7"/>
  <c r="A1285" i="7"/>
  <c r="A1284" i="7"/>
  <c r="A1283" i="7"/>
  <c r="A1282" i="7"/>
  <c r="A1281" i="7"/>
  <c r="A1280" i="7"/>
  <c r="A1279" i="7"/>
  <c r="A1278" i="7"/>
  <c r="A1277" i="7"/>
  <c r="A1276" i="7"/>
  <c r="A1275" i="7"/>
  <c r="A1274" i="7"/>
  <c r="A1273" i="7"/>
  <c r="A1272" i="7"/>
  <c r="A1271" i="7"/>
  <c r="A1270" i="7"/>
  <c r="A1269" i="7"/>
  <c r="A1268" i="7"/>
  <c r="A1267" i="7"/>
  <c r="A1266" i="7"/>
  <c r="A1265" i="7"/>
  <c r="A1264" i="7"/>
  <c r="A1263" i="7"/>
  <c r="A1262" i="7"/>
  <c r="A1261" i="7"/>
  <c r="A1260" i="7"/>
  <c r="A1259" i="7"/>
  <c r="A1258" i="7"/>
  <c r="A1257" i="7"/>
  <c r="A1256" i="7"/>
  <c r="A1255" i="7"/>
  <c r="A1254" i="7"/>
  <c r="A1253" i="7"/>
  <c r="A1252" i="7"/>
  <c r="A1251" i="7"/>
  <c r="A1250" i="7"/>
  <c r="A1249" i="7"/>
  <c r="A1248" i="7"/>
  <c r="A1247" i="7"/>
  <c r="A1246" i="7"/>
  <c r="A1245" i="7"/>
  <c r="A1244" i="7"/>
  <c r="A1243" i="7"/>
  <c r="A1242" i="7"/>
  <c r="A1241" i="7"/>
  <c r="A1240" i="7"/>
  <c r="A1239" i="7"/>
  <c r="A1238" i="7"/>
  <c r="A1237" i="7"/>
  <c r="A1236" i="7"/>
  <c r="A1235" i="7"/>
  <c r="A1234" i="7"/>
  <c r="A1233" i="7"/>
  <c r="A1232" i="7"/>
  <c r="A1231" i="7"/>
  <c r="A1230" i="7"/>
  <c r="A1229" i="7"/>
  <c r="A1228" i="7"/>
  <c r="A1227" i="7"/>
  <c r="A1226" i="7"/>
  <c r="A1225" i="7"/>
  <c r="A1224" i="7"/>
  <c r="A1223" i="7"/>
  <c r="A1222" i="7"/>
  <c r="A1221" i="7"/>
  <c r="A1220" i="7"/>
  <c r="A1219" i="7"/>
  <c r="A1218" i="7"/>
  <c r="A1217" i="7"/>
  <c r="A1216" i="7"/>
  <c r="A1215" i="7"/>
  <c r="A1214" i="7"/>
  <c r="A1213" i="7"/>
  <c r="A1212" i="7"/>
  <c r="A1211" i="7"/>
  <c r="A1210" i="7"/>
  <c r="A1209" i="7"/>
  <c r="A1208" i="7"/>
  <c r="A1207" i="7"/>
  <c r="A1206" i="7"/>
  <c r="A1205" i="7"/>
  <c r="A1204" i="7"/>
  <c r="A1203" i="7"/>
  <c r="A1202" i="7"/>
  <c r="A1201" i="7"/>
  <c r="A1200" i="7"/>
  <c r="A1199" i="7"/>
  <c r="A1198" i="7"/>
  <c r="A1197" i="7"/>
  <c r="A1196" i="7"/>
  <c r="A1195" i="7"/>
  <c r="A1194" i="7"/>
  <c r="A1193" i="7"/>
  <c r="A1192" i="7"/>
  <c r="A1191" i="7"/>
  <c r="A1190" i="7"/>
  <c r="A1189" i="7"/>
  <c r="A1188" i="7"/>
  <c r="A1187" i="7"/>
  <c r="A1186" i="7"/>
  <c r="A1185" i="7"/>
  <c r="A1184" i="7"/>
  <c r="A1183" i="7"/>
  <c r="A1182" i="7"/>
  <c r="A1181" i="7"/>
  <c r="A1180" i="7"/>
  <c r="A1179" i="7"/>
  <c r="A1178" i="7"/>
  <c r="A1177" i="7"/>
  <c r="A1176" i="7"/>
  <c r="A1175" i="7"/>
  <c r="A1174" i="7"/>
  <c r="A1173" i="7"/>
  <c r="A1172" i="7"/>
  <c r="A1171" i="7"/>
  <c r="A1170" i="7"/>
  <c r="A1169" i="7"/>
  <c r="A1168" i="7"/>
  <c r="A1167" i="7"/>
  <c r="A1166" i="7"/>
  <c r="A1165" i="7"/>
  <c r="A1164" i="7"/>
  <c r="A1163" i="7"/>
  <c r="A1162" i="7"/>
  <c r="A1161" i="7"/>
  <c r="A1160" i="7"/>
  <c r="A1159" i="7"/>
  <c r="A1158" i="7"/>
  <c r="A1157" i="7"/>
  <c r="A1156" i="7"/>
  <c r="A1155" i="7"/>
  <c r="A1145" i="7"/>
  <c r="A1144" i="7"/>
  <c r="A1143" i="7"/>
  <c r="A1142" i="7"/>
  <c r="A1141" i="7"/>
  <c r="A1140" i="7"/>
  <c r="A1139" i="7"/>
  <c r="A1138" i="7"/>
  <c r="A1137" i="7"/>
  <c r="A1136" i="7"/>
  <c r="A1135" i="7"/>
  <c r="A1134" i="7"/>
  <c r="A1133" i="7"/>
  <c r="A1132" i="7"/>
  <c r="A1131" i="7"/>
  <c r="A1130" i="7"/>
  <c r="A1129" i="7"/>
  <c r="A1128" i="7"/>
  <c r="A1127" i="7"/>
  <c r="A1126" i="7"/>
  <c r="A1125" i="7"/>
  <c r="A1124" i="7"/>
  <c r="A1123" i="7"/>
  <c r="A1122" i="7"/>
  <c r="A1121" i="7"/>
  <c r="A1120" i="7"/>
  <c r="A1119" i="7"/>
  <c r="A1118" i="7"/>
  <c r="A1117" i="7"/>
  <c r="A1116" i="7"/>
  <c r="A1115" i="7"/>
  <c r="A1114" i="7"/>
  <c r="A1113" i="7"/>
  <c r="A1112" i="7"/>
  <c r="A1111" i="7"/>
  <c r="A1110" i="7"/>
  <c r="A1109" i="7"/>
  <c r="A1108" i="7"/>
  <c r="A1107" i="7"/>
  <c r="A1106" i="7"/>
  <c r="A1105" i="7"/>
  <c r="A1104" i="7"/>
  <c r="A1103" i="7"/>
  <c r="A1102" i="7"/>
  <c r="A1101" i="7"/>
  <c r="A1099" i="7"/>
  <c r="A1098" i="7"/>
  <c r="A1097" i="7"/>
  <c r="A1096" i="7"/>
  <c r="A1095" i="7"/>
  <c r="A1092" i="7"/>
  <c r="A1091" i="7"/>
  <c r="A1075" i="7"/>
  <c r="A1073" i="7"/>
  <c r="A1070" i="7"/>
  <c r="A1069" i="7"/>
  <c r="A1068" i="7"/>
  <c r="A1067" i="7"/>
  <c r="A1066" i="7"/>
  <c r="A1065" i="7"/>
  <c r="A1064" i="7"/>
  <c r="A1063" i="7"/>
  <c r="A1062" i="7"/>
  <c r="A1061" i="7"/>
  <c r="A1060" i="7"/>
  <c r="A1059" i="7"/>
  <c r="A1058" i="7"/>
  <c r="A1057" i="7"/>
  <c r="A1056" i="7"/>
  <c r="A1055" i="7"/>
  <c r="A1054" i="7"/>
  <c r="A1050" i="7"/>
  <c r="A1048" i="7"/>
  <c r="A1046" i="7"/>
  <c r="A1042" i="7"/>
  <c r="A1002" i="7"/>
  <c r="A1001" i="7"/>
  <c r="A998" i="7"/>
  <c r="A995" i="7"/>
  <c r="A994" i="7"/>
  <c r="A993" i="7"/>
  <c r="A991" i="7"/>
  <c r="A989" i="7"/>
  <c r="A986" i="7"/>
  <c r="A984" i="7"/>
  <c r="A982" i="7"/>
  <c r="A981" i="7"/>
  <c r="A980" i="7"/>
  <c r="A977" i="7"/>
  <c r="A976" i="7"/>
  <c r="A975" i="7"/>
  <c r="A972" i="7"/>
  <c r="A971" i="7"/>
  <c r="A964" i="7"/>
  <c r="A963" i="7"/>
  <c r="A962" i="7"/>
  <c r="A960" i="7"/>
  <c r="A955" i="7"/>
  <c r="A952" i="7"/>
  <c r="A951" i="7"/>
  <c r="A950" i="7"/>
  <c r="A949" i="7"/>
  <c r="A946" i="7"/>
  <c r="A943" i="7"/>
  <c r="A941" i="7"/>
  <c r="A940" i="7"/>
  <c r="A939" i="7"/>
  <c r="A937" i="7"/>
  <c r="A932" i="7"/>
  <c r="A931" i="7"/>
  <c r="A929" i="7"/>
  <c r="A927" i="7"/>
  <c r="A926" i="7"/>
  <c r="A925" i="7"/>
  <c r="A924" i="7"/>
  <c r="A919" i="7"/>
  <c r="A918" i="7"/>
  <c r="A917" i="7"/>
  <c r="A914" i="7"/>
  <c r="A913" i="7"/>
  <c r="A912" i="7"/>
  <c r="A907" i="7"/>
  <c r="A905" i="7"/>
  <c r="A904" i="7"/>
  <c r="A903" i="7"/>
  <c r="A900" i="7"/>
  <c r="A899" i="7"/>
  <c r="A898" i="7"/>
  <c r="A896" i="7"/>
  <c r="A893" i="7"/>
  <c r="A892" i="7"/>
  <c r="A891" i="7"/>
  <c r="A890" i="7"/>
  <c r="A886" i="7"/>
  <c r="A876" i="7"/>
  <c r="A871" i="7"/>
  <c r="A849" i="7"/>
  <c r="A844" i="7"/>
  <c r="A843" i="7"/>
  <c r="A841" i="7"/>
  <c r="A839" i="7"/>
  <c r="A838" i="7"/>
  <c r="A836" i="7"/>
  <c r="A832" i="7"/>
  <c r="A830" i="7"/>
  <c r="A829" i="7"/>
  <c r="A828" i="7"/>
  <c r="A827" i="7"/>
  <c r="A826" i="7"/>
  <c r="A825" i="7"/>
  <c r="A824" i="7"/>
  <c r="A823" i="7"/>
  <c r="A822" i="7"/>
  <c r="A814" i="7"/>
  <c r="A805" i="7"/>
  <c r="A804" i="7"/>
  <c r="A802" i="7"/>
  <c r="A796" i="7"/>
  <c r="A747" i="7"/>
  <c r="A742" i="7"/>
  <c r="A736" i="7"/>
  <c r="A734" i="7"/>
  <c r="A733" i="7"/>
  <c r="A732" i="7"/>
  <c r="A698" i="7"/>
  <c r="A523" i="7"/>
  <c r="A513" i="7"/>
  <c r="A512" i="7"/>
  <c r="A511" i="7"/>
  <c r="A510" i="7"/>
  <c r="A509" i="7"/>
  <c r="A508" i="7"/>
  <c r="A507" i="7"/>
  <c r="A505" i="7"/>
  <c r="A41" i="7"/>
  <c r="A4" i="7"/>
  <c r="A5" i="7"/>
  <c r="A1372" i="7"/>
  <c r="A1371" i="7"/>
  <c r="A1370" i="7"/>
  <c r="A1369" i="7"/>
  <c r="A1368" i="7"/>
  <c r="A1367" i="7"/>
  <c r="A1366" i="7"/>
  <c r="A1365" i="7"/>
  <c r="A1364" i="7"/>
  <c r="A1363" i="7"/>
  <c r="A1362" i="7"/>
  <c r="A1361" i="7"/>
  <c r="A1360" i="7"/>
  <c r="A1359" i="7"/>
  <c r="A1358" i="7"/>
  <c r="A1357" i="7"/>
  <c r="A1356" i="7"/>
  <c r="A1355" i="7"/>
  <c r="A1354" i="7"/>
  <c r="A1353" i="7"/>
  <c r="A1352" i="7"/>
  <c r="A1351" i="7"/>
  <c r="A1350" i="7"/>
  <c r="A1349" i="7"/>
  <c r="A1348" i="7"/>
  <c r="A1347" i="7"/>
  <c r="A1346" i="7"/>
  <c r="A1153" i="7"/>
  <c r="A1148" i="7"/>
  <c r="A999" i="7"/>
  <c r="A988" i="7"/>
  <c r="A867" i="7"/>
  <c r="A866" i="7"/>
  <c r="A865" i="7"/>
  <c r="A864" i="7"/>
  <c r="A863" i="7"/>
  <c r="A862" i="7"/>
  <c r="A861" i="7"/>
  <c r="A860" i="7"/>
  <c r="A859" i="7"/>
  <c r="A858" i="7"/>
  <c r="A857" i="7"/>
  <c r="A856" i="7"/>
  <c r="A855" i="7"/>
  <c r="A854" i="7"/>
  <c r="A853" i="7"/>
  <c r="A852" i="7"/>
  <c r="A851" i="7"/>
  <c r="A850" i="7"/>
  <c r="A819" i="7"/>
  <c r="A818" i="7"/>
  <c r="A817" i="7"/>
  <c r="A816" i="7"/>
  <c r="A521" i="7"/>
  <c r="A520" i="7"/>
  <c r="A519" i="7"/>
  <c r="A518" i="7"/>
  <c r="A517" i="7"/>
  <c r="A516" i="7"/>
  <c r="A515" i="7"/>
  <c r="A514" i="7"/>
  <c r="A506" i="7"/>
  <c r="A504" i="7"/>
  <c r="A503" i="7"/>
  <c r="A502" i="7"/>
  <c r="A501" i="7"/>
  <c r="A500" i="7"/>
  <c r="A499" i="7"/>
  <c r="A498" i="7"/>
  <c r="A497" i="7"/>
  <c r="A496" i="7"/>
  <c r="A495" i="7"/>
  <c r="A494" i="7"/>
  <c r="A493" i="7"/>
  <c r="A492" i="7"/>
  <c r="A491" i="7"/>
  <c r="A490" i="7"/>
  <c r="A489" i="7"/>
  <c r="A488" i="7"/>
  <c r="A487" i="7"/>
  <c r="A486" i="7"/>
  <c r="A485" i="7"/>
  <c r="A484" i="7"/>
  <c r="A483" i="7"/>
  <c r="A482" i="7"/>
  <c r="A481" i="7"/>
  <c r="A480" i="7"/>
  <c r="A479" i="7"/>
  <c r="A478" i="7"/>
  <c r="A477" i="7"/>
  <c r="A476" i="7"/>
  <c r="A475" i="7"/>
  <c r="A474" i="7"/>
  <c r="A473" i="7"/>
  <c r="A472" i="7"/>
  <c r="A471" i="7"/>
  <c r="A470" i="7"/>
  <c r="A469" i="7"/>
  <c r="A468" i="7"/>
  <c r="A467" i="7"/>
  <c r="A466" i="7"/>
  <c r="A465" i="7"/>
  <c r="A464" i="7"/>
  <c r="A463" i="7"/>
  <c r="A462" i="7"/>
  <c r="A461" i="7"/>
  <c r="A460" i="7"/>
  <c r="A459" i="7"/>
  <c r="A458" i="7"/>
  <c r="A457" i="7"/>
  <c r="A456" i="7"/>
  <c r="A455" i="7"/>
  <c r="A454" i="7"/>
  <c r="A453" i="7"/>
  <c r="A452" i="7"/>
  <c r="A451" i="7"/>
  <c r="A450" i="7"/>
  <c r="A449" i="7"/>
  <c r="A448" i="7"/>
  <c r="A447" i="7"/>
  <c r="A446" i="7"/>
  <c r="A445" i="7"/>
  <c r="A444" i="7"/>
  <c r="A443" i="7"/>
  <c r="A442" i="7"/>
  <c r="A441" i="7"/>
  <c r="A440" i="7"/>
  <c r="A439" i="7"/>
  <c r="A438" i="7"/>
  <c r="A437" i="7"/>
  <c r="A436" i="7"/>
  <c r="A435" i="7"/>
  <c r="A434" i="7"/>
  <c r="A433" i="7"/>
  <c r="A432" i="7"/>
  <c r="A431" i="7"/>
  <c r="A430" i="7"/>
  <c r="A429" i="7"/>
  <c r="A428" i="7"/>
  <c r="A427" i="7"/>
  <c r="A426" i="7"/>
  <c r="A425" i="7"/>
  <c r="A424" i="7"/>
  <c r="A423" i="7"/>
  <c r="A422" i="7"/>
  <c r="A421" i="7"/>
  <c r="A420" i="7"/>
  <c r="A419" i="7"/>
  <c r="A418" i="7"/>
  <c r="A417" i="7"/>
  <c r="A416" i="7"/>
  <c r="A415" i="7"/>
  <c r="A414" i="7"/>
  <c r="A413" i="7"/>
  <c r="A412" i="7"/>
  <c r="A411" i="7"/>
  <c r="A410" i="7"/>
  <c r="A409" i="7"/>
  <c r="A408" i="7"/>
  <c r="A407" i="7"/>
  <c r="A406" i="7"/>
  <c r="A405" i="7"/>
  <c r="A404" i="7"/>
  <c r="A403" i="7"/>
  <c r="A402" i="7"/>
  <c r="A401" i="7"/>
  <c r="A400" i="7"/>
  <c r="A399" i="7"/>
  <c r="A398" i="7"/>
  <c r="A397" i="7"/>
  <c r="A396" i="7"/>
  <c r="A395" i="7"/>
  <c r="A394" i="7"/>
  <c r="A393" i="7"/>
  <c r="A392" i="7"/>
  <c r="A391" i="7"/>
  <c r="A390" i="7"/>
  <c r="A389" i="7"/>
  <c r="A388" i="7"/>
  <c r="A387" i="7"/>
  <c r="A386" i="7"/>
  <c r="A385" i="7"/>
  <c r="A384" i="7"/>
  <c r="A383" i="7"/>
  <c r="A382" i="7"/>
  <c r="A381" i="7"/>
  <c r="A380" i="7"/>
  <c r="A379" i="7"/>
  <c r="A378" i="7"/>
  <c r="A377" i="7"/>
  <c r="A376" i="7"/>
  <c r="A375" i="7"/>
  <c r="A374" i="7"/>
  <c r="A373" i="7"/>
  <c r="A372" i="7"/>
  <c r="A371" i="7"/>
  <c r="A370" i="7"/>
  <c r="A369" i="7"/>
  <c r="A368" i="7"/>
  <c r="A367" i="7"/>
  <c r="A366" i="7"/>
  <c r="A365" i="7"/>
  <c r="A364" i="7"/>
  <c r="A363" i="7"/>
  <c r="A362" i="7"/>
  <c r="A361" i="7"/>
  <c r="A360" i="7"/>
  <c r="A359" i="7"/>
  <c r="A358" i="7"/>
  <c r="A357" i="7"/>
  <c r="A356" i="7"/>
  <c r="A355" i="7"/>
  <c r="A354" i="7"/>
  <c r="A353" i="7"/>
  <c r="A352" i="7"/>
  <c r="A351" i="7"/>
  <c r="A350" i="7"/>
  <c r="A349" i="7"/>
  <c r="A348" i="7"/>
  <c r="A347" i="7"/>
  <c r="A346" i="7"/>
  <c r="A345" i="7"/>
  <c r="A344" i="7"/>
  <c r="A343" i="7"/>
  <c r="A342" i="7"/>
  <c r="A341" i="7"/>
  <c r="A340" i="7"/>
  <c r="A339" i="7"/>
  <c r="A338" i="7"/>
  <c r="A337" i="7"/>
  <c r="A336" i="7"/>
  <c r="A335" i="7"/>
  <c r="A334" i="7"/>
  <c r="A333" i="7"/>
  <c r="A332" i="7"/>
  <c r="A331" i="7"/>
  <c r="A330" i="7"/>
  <c r="A329" i="7"/>
  <c r="A328" i="7"/>
  <c r="A327" i="7"/>
  <c r="A326" i="7"/>
  <c r="A325" i="7"/>
  <c r="A324" i="7"/>
  <c r="A323" i="7"/>
  <c r="A322" i="7"/>
  <c r="A321" i="7"/>
  <c r="A320" i="7"/>
  <c r="A319" i="7"/>
  <c r="A318" i="7"/>
  <c r="A317" i="7"/>
  <c r="A316" i="7"/>
  <c r="A315" i="7"/>
  <c r="A314" i="7"/>
  <c r="A313" i="7"/>
  <c r="A312" i="7"/>
  <c r="A311" i="7"/>
  <c r="A310" i="7"/>
  <c r="A309" i="7"/>
  <c r="A308" i="7"/>
  <c r="A307" i="7"/>
  <c r="A306" i="7"/>
  <c r="A305" i="7"/>
  <c r="A304" i="7"/>
  <c r="A303" i="7"/>
  <c r="A302" i="7"/>
  <c r="A301" i="7"/>
  <c r="A300" i="7"/>
  <c r="A299" i="7"/>
  <c r="A298" i="7"/>
  <c r="A297" i="7"/>
  <c r="A296" i="7"/>
  <c r="A295" i="7"/>
  <c r="A294" i="7"/>
  <c r="A293" i="7"/>
  <c r="A292" i="7"/>
  <c r="A291" i="7"/>
  <c r="A290" i="7"/>
  <c r="A289" i="7"/>
  <c r="A288" i="7"/>
  <c r="A287" i="7"/>
  <c r="A286" i="7"/>
  <c r="A285" i="7"/>
  <c r="A284" i="7"/>
  <c r="A283" i="7"/>
  <c r="A282" i="7"/>
  <c r="A281" i="7"/>
  <c r="A280" i="7"/>
  <c r="A279" i="7"/>
  <c r="A278" i="7"/>
  <c r="A277" i="7"/>
  <c r="A276" i="7"/>
  <c r="A275" i="7"/>
  <c r="A274" i="7"/>
  <c r="A273" i="7"/>
  <c r="A272" i="7"/>
  <c r="A271" i="7"/>
  <c r="A270" i="7"/>
  <c r="A269" i="7"/>
  <c r="A268" i="7"/>
  <c r="A267" i="7"/>
  <c r="A266" i="7"/>
  <c r="A265" i="7"/>
  <c r="A264" i="7"/>
  <c r="A263" i="7"/>
  <c r="A262" i="7"/>
  <c r="A261" i="7"/>
  <c r="A260" i="7"/>
  <c r="A259" i="7"/>
  <c r="A258" i="7"/>
  <c r="A257" i="7"/>
  <c r="A256" i="7"/>
  <c r="A255" i="7"/>
  <c r="A254" i="7"/>
  <c r="A253" i="7"/>
  <c r="A252" i="7"/>
  <c r="A251" i="7"/>
  <c r="A250" i="7"/>
  <c r="A249" i="7"/>
  <c r="A248" i="7"/>
  <c r="A247" i="7"/>
  <c r="A246" i="7"/>
  <c r="A245" i="7"/>
  <c r="A244" i="7"/>
  <c r="A243" i="7"/>
  <c r="A242" i="7"/>
  <c r="A241" i="7"/>
  <c r="A240" i="7"/>
  <c r="A239" i="7"/>
  <c r="A238" i="7"/>
  <c r="A237" i="7"/>
  <c r="A236" i="7"/>
  <c r="A235" i="7"/>
  <c r="A234" i="7"/>
  <c r="A233" i="7"/>
  <c r="A232" i="7"/>
  <c r="A231" i="7"/>
  <c r="A230" i="7"/>
  <c r="A229" i="7"/>
  <c r="A228" i="7"/>
  <c r="A227" i="7"/>
  <c r="A226" i="7"/>
  <c r="A225" i="7"/>
  <c r="A224" i="7"/>
  <c r="A223" i="7"/>
  <c r="A222" i="7"/>
  <c r="A221" i="7"/>
  <c r="A220" i="7"/>
  <c r="A219" i="7"/>
  <c r="A218" i="7"/>
  <c r="A217" i="7"/>
  <c r="A216" i="7"/>
  <c r="A215" i="7"/>
  <c r="A214" i="7"/>
  <c r="A213" i="7"/>
  <c r="A212" i="7"/>
  <c r="A211" i="7"/>
  <c r="A210" i="7"/>
  <c r="A209" i="7"/>
  <c r="A208" i="7"/>
  <c r="A207" i="7"/>
  <c r="A206" i="7"/>
  <c r="A205" i="7"/>
  <c r="A204" i="7"/>
  <c r="A203" i="7"/>
  <c r="A202" i="7"/>
  <c r="A201" i="7"/>
  <c r="A200" i="7"/>
  <c r="A199" i="7"/>
  <c r="A198" i="7"/>
  <c r="A197" i="7"/>
  <c r="A196" i="7"/>
  <c r="A195" i="7"/>
  <c r="A194" i="7"/>
  <c r="A193" i="7"/>
  <c r="A192" i="7"/>
  <c r="A191" i="7"/>
  <c r="A190" i="7"/>
  <c r="A189" i="7"/>
  <c r="A188" i="7"/>
  <c r="A187" i="7"/>
  <c r="A186" i="7"/>
  <c r="A185" i="7"/>
  <c r="A184" i="7"/>
  <c r="A183" i="7"/>
  <c r="A182" i="7"/>
  <c r="A181" i="7"/>
  <c r="A180" i="7"/>
  <c r="A179" i="7"/>
  <c r="A178" i="7"/>
  <c r="A177" i="7"/>
  <c r="A176" i="7"/>
  <c r="A175" i="7"/>
  <c r="A174" i="7"/>
  <c r="A173" i="7"/>
  <c r="A172" i="7"/>
  <c r="A171" i="7"/>
  <c r="A170" i="7"/>
  <c r="A169" i="7"/>
  <c r="A168" i="7"/>
  <c r="A167" i="7"/>
  <c r="A166" i="7"/>
  <c r="A165" i="7"/>
  <c r="A164" i="7"/>
  <c r="A163" i="7"/>
  <c r="A162" i="7"/>
  <c r="A161" i="7"/>
  <c r="A160" i="7"/>
  <c r="A159" i="7"/>
  <c r="A158" i="7"/>
  <c r="A157" i="7"/>
  <c r="A156" i="7"/>
  <c r="A155" i="7"/>
  <c r="A154" i="7"/>
  <c r="A153" i="7"/>
  <c r="A152" i="7"/>
  <c r="A151" i="7"/>
  <c r="A150" i="7"/>
  <c r="A149" i="7"/>
  <c r="A148" i="7"/>
  <c r="A147" i="7"/>
  <c r="A146" i="7"/>
  <c r="A145" i="7"/>
  <c r="A144" i="7"/>
  <c r="A143" i="7"/>
  <c r="A142" i="7"/>
  <c r="A141" i="7"/>
  <c r="A140" i="7"/>
  <c r="A139" i="7"/>
  <c r="A138" i="7"/>
  <c r="A137" i="7"/>
  <c r="A136" i="7"/>
  <c r="A135" i="7"/>
  <c r="A134" i="7"/>
  <c r="A133" i="7"/>
  <c r="A132" i="7"/>
  <c r="A131" i="7"/>
  <c r="A130" i="7"/>
  <c r="A129" i="7"/>
  <c r="A128" i="7"/>
  <c r="A127" i="7"/>
  <c r="A126" i="7"/>
  <c r="A125" i="7"/>
  <c r="A124" i="7"/>
  <c r="A123" i="7"/>
  <c r="A122" i="7"/>
  <c r="A121" i="7"/>
  <c r="A120" i="7"/>
  <c r="A119" i="7"/>
  <c r="A118" i="7"/>
  <c r="A117" i="7"/>
  <c r="A116" i="7"/>
  <c r="A115" i="7"/>
  <c r="A114" i="7"/>
  <c r="A113" i="7"/>
  <c r="A112" i="7"/>
  <c r="A111" i="7"/>
  <c r="A110" i="7"/>
  <c r="A109" i="7"/>
  <c r="A108" i="7"/>
  <c r="A107" i="7"/>
  <c r="A106" i="7"/>
  <c r="A105" i="7"/>
  <c r="A104" i="7"/>
  <c r="A103" i="7"/>
  <c r="A102" i="7"/>
  <c r="A101" i="7"/>
  <c r="A100" i="7"/>
  <c r="A99" i="7"/>
  <c r="A98" i="7"/>
  <c r="A97" i="7"/>
  <c r="A96" i="7"/>
  <c r="A95" i="7"/>
  <c r="A94" i="7"/>
  <c r="A93" i="7"/>
  <c r="A92" i="7"/>
  <c r="A91" i="7"/>
  <c r="A90" i="7"/>
  <c r="A89" i="7"/>
  <c r="A88" i="7"/>
  <c r="A87" i="7"/>
  <c r="A86" i="7"/>
  <c r="A85" i="7"/>
  <c r="A84" i="7"/>
  <c r="A83" i="7"/>
  <c r="A82" i="7"/>
  <c r="A81" i="7"/>
  <c r="A80" i="7"/>
  <c r="A79" i="7"/>
  <c r="A78" i="7"/>
  <c r="A77" i="7"/>
  <c r="A76" i="7"/>
  <c r="A75" i="7"/>
  <c r="A74" i="7"/>
  <c r="A73" i="7"/>
  <c r="A72" i="7"/>
  <c r="A71" i="7"/>
  <c r="A70" i="7"/>
  <c r="A69" i="7"/>
  <c r="A68" i="7"/>
  <c r="A67" i="7"/>
  <c r="A66" i="7"/>
  <c r="A65" i="7"/>
  <c r="A64" i="7"/>
  <c r="A63" i="7"/>
  <c r="A62" i="7"/>
  <c r="A61" i="7"/>
  <c r="A60" i="7"/>
  <c r="A59" i="7"/>
  <c r="A58" i="7"/>
  <c r="A57" i="7"/>
  <c r="A56" i="7"/>
  <c r="A55" i="7"/>
  <c r="A54" i="7"/>
  <c r="A53" i="7"/>
  <c r="A52" i="7"/>
  <c r="A51" i="7"/>
  <c r="A50" i="7"/>
  <c r="A49" i="7"/>
  <c r="A48" i="7"/>
  <c r="A47" i="7"/>
  <c r="A46" i="7"/>
  <c r="A45" i="7"/>
  <c r="A44" i="7"/>
  <c r="A43" i="7"/>
  <c r="A42" i="7"/>
  <c r="A40" i="7"/>
  <c r="A39" i="7"/>
  <c r="A38" i="7"/>
  <c r="A37" i="7"/>
  <c r="A36" i="7"/>
  <c r="A35" i="7"/>
  <c r="A34" i="7"/>
  <c r="A33" i="7"/>
  <c r="A32" i="7"/>
  <c r="A31" i="7"/>
  <c r="A30" i="7"/>
  <c r="A29" i="7"/>
  <c r="A28" i="7"/>
  <c r="A27" i="7"/>
  <c r="A26" i="7"/>
  <c r="A25" i="7"/>
  <c r="A24" i="7"/>
  <c r="A23" i="7"/>
  <c r="A22" i="7"/>
  <c r="A21" i="7"/>
  <c r="A20" i="7"/>
  <c r="A19" i="7"/>
  <c r="A18" i="7"/>
  <c r="A17" i="7"/>
  <c r="A16" i="7"/>
  <c r="A15" i="7"/>
  <c r="A14" i="7"/>
  <c r="A13" i="7"/>
  <c r="A12" i="7"/>
  <c r="A11" i="7"/>
  <c r="A10" i="7"/>
  <c r="A9" i="7"/>
  <c r="A8" i="7"/>
  <c r="A7" i="7"/>
  <c r="A6" i="7"/>
  <c r="A3" i="7"/>
  <c r="A486" i="5"/>
  <c r="A485" i="5"/>
  <c r="A484" i="5"/>
  <c r="A483" i="5"/>
  <c r="A482" i="5"/>
  <c r="A481" i="5"/>
  <c r="A480" i="5"/>
  <c r="A479" i="5"/>
  <c r="A478" i="5"/>
  <c r="A477" i="5"/>
  <c r="A476" i="5"/>
  <c r="A475" i="5"/>
  <c r="A474" i="5"/>
  <c r="A473" i="5"/>
  <c r="A472" i="5"/>
  <c r="A471" i="5"/>
  <c r="A470" i="5"/>
  <c r="A469" i="5"/>
  <c r="A468" i="5"/>
  <c r="A467" i="5"/>
  <c r="A466" i="5"/>
  <c r="A465" i="5"/>
  <c r="A464" i="5"/>
  <c r="A463" i="5"/>
  <c r="A462" i="5"/>
  <c r="A461" i="5"/>
  <c r="A460" i="5"/>
  <c r="A459" i="5"/>
  <c r="A458" i="5"/>
  <c r="A457" i="5"/>
  <c r="A456" i="5"/>
  <c r="A455" i="5"/>
  <c r="A454" i="5"/>
  <c r="A453" i="5"/>
  <c r="A452" i="5"/>
  <c r="A451" i="5"/>
  <c r="A450" i="5"/>
  <c r="A449" i="5"/>
  <c r="A448" i="5"/>
  <c r="A447" i="5"/>
  <c r="A446" i="5"/>
  <c r="A445" i="5"/>
  <c r="A444" i="5"/>
  <c r="A443" i="5"/>
  <c r="A442" i="5"/>
  <c r="A441" i="5"/>
  <c r="A439" i="5"/>
  <c r="A438" i="5"/>
  <c r="A437" i="5"/>
  <c r="A436" i="5"/>
  <c r="A435" i="5"/>
  <c r="A434" i="5"/>
  <c r="A433" i="5"/>
  <c r="A432" i="5"/>
  <c r="A431" i="5"/>
  <c r="A430" i="5"/>
  <c r="A429" i="5"/>
  <c r="A428" i="5"/>
  <c r="A427" i="5"/>
  <c r="A426" i="5"/>
  <c r="A425" i="5"/>
  <c r="A424" i="5"/>
  <c r="A423" i="5"/>
  <c r="A422" i="5"/>
  <c r="A421" i="5"/>
  <c r="A420" i="5"/>
  <c r="A419" i="5"/>
  <c r="A418" i="5"/>
  <c r="A417" i="5"/>
  <c r="A416" i="5"/>
  <c r="A415" i="5"/>
  <c r="A414" i="5"/>
  <c r="A413" i="5"/>
  <c r="A412" i="5"/>
  <c r="A411" i="5"/>
  <c r="A410" i="5"/>
  <c r="A409" i="5"/>
  <c r="A408" i="5"/>
  <c r="A407" i="5"/>
  <c r="A406" i="5"/>
  <c r="A405" i="5"/>
  <c r="A404" i="5"/>
  <c r="A403" i="5"/>
  <c r="A402" i="5"/>
  <c r="A401" i="5"/>
  <c r="A400" i="5"/>
  <c r="A399" i="5"/>
  <c r="A398" i="5"/>
  <c r="A397" i="5"/>
  <c r="A396" i="5"/>
  <c r="A395" i="5"/>
  <c r="A394" i="5"/>
  <c r="A393" i="5"/>
  <c r="A392" i="5"/>
  <c r="A391" i="5"/>
  <c r="A390" i="5"/>
  <c r="A389" i="5"/>
  <c r="A388" i="5"/>
  <c r="A387" i="5"/>
  <c r="A386" i="5"/>
  <c r="A385" i="5"/>
  <c r="A384" i="5"/>
  <c r="A383" i="5"/>
  <c r="A382" i="5"/>
  <c r="A381" i="5"/>
  <c r="A380" i="5"/>
  <c r="A379" i="5"/>
  <c r="A378" i="5"/>
  <c r="A377" i="5"/>
  <c r="A376" i="5"/>
  <c r="A375" i="5"/>
  <c r="A374" i="5"/>
  <c r="A373" i="5"/>
  <c r="A372" i="5"/>
  <c r="A371" i="5"/>
  <c r="A370" i="5"/>
  <c r="A369" i="5"/>
  <c r="A368" i="5"/>
  <c r="A367" i="5"/>
  <c r="A366" i="5"/>
  <c r="A365" i="5"/>
  <c r="A364" i="5"/>
  <c r="A363" i="5"/>
  <c r="A362" i="5"/>
  <c r="A361" i="5"/>
  <c r="A360" i="5"/>
  <c r="A359" i="5"/>
  <c r="A358" i="5"/>
  <c r="A357" i="5"/>
  <c r="A356" i="5"/>
  <c r="A355" i="5"/>
  <c r="A354" i="5"/>
  <c r="A353" i="5"/>
  <c r="A352" i="5"/>
  <c r="A351" i="5"/>
  <c r="A350" i="5"/>
  <c r="A349" i="5"/>
  <c r="A348" i="5"/>
  <c r="A347" i="5"/>
  <c r="A345" i="5"/>
  <c r="A344" i="5"/>
  <c r="A343" i="5"/>
  <c r="A342" i="5"/>
  <c r="A341" i="5"/>
  <c r="A340" i="5"/>
  <c r="A339" i="5"/>
  <c r="A338" i="5"/>
  <c r="A337" i="5"/>
  <c r="A336" i="5"/>
  <c r="A335" i="5"/>
  <c r="A334" i="5"/>
  <c r="A333" i="5"/>
  <c r="A332" i="5"/>
  <c r="A331" i="5"/>
  <c r="A330" i="5"/>
  <c r="A329" i="5"/>
  <c r="A328" i="5"/>
  <c r="A327" i="5"/>
  <c r="A326" i="5"/>
  <c r="A325" i="5"/>
  <c r="A324" i="5"/>
  <c r="A323" i="5"/>
  <c r="A322" i="5"/>
  <c r="A321" i="5"/>
  <c r="A320" i="5"/>
  <c r="A319" i="5"/>
  <c r="A318" i="5"/>
  <c r="A317" i="5"/>
  <c r="A316" i="5"/>
  <c r="A315" i="5"/>
  <c r="A313" i="5"/>
  <c r="A312" i="5"/>
  <c r="A311" i="5"/>
  <c r="A310" i="5"/>
  <c r="A309" i="5"/>
  <c r="A308" i="5"/>
  <c r="A307" i="5"/>
  <c r="A306" i="5"/>
  <c r="A305" i="5"/>
  <c r="A304" i="5"/>
  <c r="A303" i="5"/>
  <c r="A302" i="5"/>
  <c r="A301" i="5"/>
  <c r="A300" i="5"/>
  <c r="A299" i="5"/>
  <c r="A298" i="5"/>
  <c r="A297" i="5"/>
  <c r="A296" i="5"/>
  <c r="A295" i="5"/>
  <c r="A294" i="5"/>
  <c r="A293" i="5"/>
  <c r="A292" i="5"/>
  <c r="A291" i="5"/>
  <c r="A290" i="5"/>
  <c r="A289" i="5"/>
  <c r="A287" i="5"/>
  <c r="A286" i="5"/>
  <c r="A285" i="5"/>
  <c r="A284" i="5"/>
  <c r="A283" i="5"/>
  <c r="A282" i="5"/>
  <c r="A281" i="5"/>
  <c r="A280" i="5"/>
  <c r="A279" i="5"/>
  <c r="A278" i="5"/>
  <c r="A277" i="5"/>
  <c r="A276" i="5"/>
  <c r="A275" i="5"/>
  <c r="A274" i="5"/>
  <c r="A273" i="5"/>
  <c r="A272" i="5"/>
  <c r="A271" i="5"/>
  <c r="A270" i="5"/>
  <c r="A269" i="5"/>
  <c r="A268" i="5"/>
  <c r="A267" i="5"/>
  <c r="A266" i="5"/>
  <c r="A265" i="5"/>
  <c r="A264" i="5"/>
  <c r="A263" i="5"/>
  <c r="A262" i="5"/>
  <c r="A261" i="5"/>
  <c r="A260" i="5"/>
  <c r="A259" i="5"/>
  <c r="A258" i="5"/>
  <c r="A257" i="5"/>
  <c r="A256" i="5"/>
  <c r="A255" i="5"/>
  <c r="A254" i="5"/>
  <c r="A253" i="5"/>
  <c r="A252" i="5"/>
  <c r="A251" i="5"/>
  <c r="A250" i="5"/>
  <c r="A249" i="5"/>
  <c r="A248" i="5"/>
  <c r="A247" i="5"/>
  <c r="A246" i="5"/>
  <c r="A245" i="5"/>
  <c r="A244" i="5"/>
  <c r="A243" i="5"/>
  <c r="A242" i="5"/>
  <c r="A241" i="5"/>
  <c r="A240" i="5"/>
  <c r="A239" i="5"/>
  <c r="A238" i="5"/>
  <c r="A237" i="5"/>
  <c r="A236" i="5"/>
  <c r="A235" i="5"/>
  <c r="A234" i="5"/>
  <c r="A233" i="5"/>
  <c r="A232" i="5"/>
  <c r="A231" i="5"/>
  <c r="A230" i="5"/>
  <c r="A229" i="5"/>
  <c r="A228" i="5"/>
  <c r="A227" i="5"/>
  <c r="A226" i="5"/>
  <c r="A225" i="5"/>
  <c r="A224" i="5"/>
  <c r="A223" i="5"/>
  <c r="A222" i="5"/>
  <c r="A220" i="5"/>
  <c r="A219" i="5"/>
  <c r="A218" i="5"/>
  <c r="A217" i="5"/>
  <c r="A216" i="5"/>
  <c r="A215" i="5"/>
  <c r="A214" i="5"/>
  <c r="A213" i="5"/>
  <c r="A212" i="5"/>
  <c r="A211" i="5"/>
  <c r="A210" i="5"/>
  <c r="A209" i="5"/>
  <c r="A208" i="5"/>
  <c r="A207" i="5"/>
  <c r="A206" i="5"/>
  <c r="A205" i="5"/>
  <c r="A204" i="5"/>
  <c r="A203" i="5"/>
  <c r="A202" i="5"/>
  <c r="A201" i="5"/>
  <c r="A200" i="5"/>
  <c r="A199" i="5"/>
  <c r="A198" i="5"/>
  <c r="A197" i="5"/>
  <c r="A196" i="5"/>
  <c r="A195" i="5"/>
  <c r="A194" i="5"/>
  <c r="A193" i="5"/>
  <c r="A192" i="5"/>
  <c r="A191" i="5"/>
  <c r="A190" i="5"/>
  <c r="A189" i="5"/>
  <c r="A188" i="5"/>
  <c r="A187" i="5"/>
  <c r="A186" i="5"/>
  <c r="A185" i="5"/>
  <c r="A184" i="5"/>
  <c r="A183" i="5"/>
  <c r="A182" i="5"/>
  <c r="A181" i="5"/>
  <c r="A180" i="5"/>
  <c r="A179" i="5"/>
  <c r="A178" i="5"/>
  <c r="A177" i="5"/>
  <c r="A176" i="5"/>
  <c r="A175" i="5"/>
  <c r="A174" i="5"/>
  <c r="A173" i="5"/>
  <c r="A172" i="5"/>
  <c r="A171" i="5"/>
  <c r="A170" i="5"/>
  <c r="A169" i="5"/>
  <c r="A168" i="5"/>
  <c r="A167" i="5"/>
  <c r="A166" i="5"/>
  <c r="A165" i="5"/>
  <c r="A164" i="5"/>
  <c r="A163" i="5"/>
  <c r="A162" i="5"/>
  <c r="A161" i="5"/>
  <c r="A160" i="5"/>
  <c r="A159" i="5"/>
  <c r="A158" i="5"/>
  <c r="A157" i="5"/>
  <c r="A156" i="5"/>
  <c r="A155" i="5"/>
  <c r="A154" i="5"/>
  <c r="A153" i="5"/>
  <c r="A152" i="5"/>
  <c r="A151" i="5"/>
  <c r="A150" i="5"/>
  <c r="A149" i="5"/>
  <c r="A148" i="5"/>
  <c r="A147" i="5"/>
  <c r="A146" i="5"/>
  <c r="A145" i="5"/>
  <c r="A144" i="5"/>
  <c r="A143" i="5"/>
  <c r="A142" i="5"/>
  <c r="A141" i="5"/>
  <c r="A140" i="5"/>
  <c r="A139" i="5"/>
  <c r="A138" i="5"/>
  <c r="A137" i="5"/>
  <c r="A136" i="5"/>
  <c r="A135" i="5"/>
  <c r="A134" i="5"/>
  <c r="A133" i="5"/>
  <c r="A132" i="5"/>
  <c r="A131" i="5"/>
  <c r="A130" i="5"/>
  <c r="A129" i="5"/>
  <c r="A128" i="5"/>
  <c r="A127" i="5"/>
  <c r="A126" i="5"/>
  <c r="A125" i="5"/>
  <c r="A124" i="5"/>
  <c r="A123" i="5"/>
  <c r="A122" i="5"/>
  <c r="A121" i="5"/>
  <c r="A120" i="5"/>
  <c r="A119" i="5"/>
  <c r="A118" i="5"/>
  <c r="A117" i="5"/>
  <c r="A116" i="5"/>
  <c r="A115" i="5"/>
  <c r="A114" i="5"/>
  <c r="A113" i="5"/>
  <c r="A112" i="5"/>
  <c r="A111" i="5"/>
  <c r="A110" i="5"/>
  <c r="A109" i="5"/>
  <c r="A108" i="5"/>
  <c r="A107" i="5"/>
  <c r="A106" i="5"/>
  <c r="A105" i="5"/>
  <c r="A104" i="5"/>
  <c r="A103" i="5"/>
  <c r="A102" i="5"/>
  <c r="A101" i="5"/>
  <c r="A100" i="5"/>
  <c r="A99" i="5"/>
  <c r="A98" i="5"/>
  <c r="A97" i="5"/>
  <c r="A96" i="5"/>
  <c r="A95" i="5"/>
  <c r="A94" i="5"/>
  <c r="A93" i="5"/>
  <c r="A92" i="5"/>
  <c r="A91" i="5"/>
  <c r="A90" i="5"/>
  <c r="A89" i="5"/>
  <c r="A88" i="5"/>
  <c r="A87" i="5"/>
  <c r="A86" i="5"/>
  <c r="A85" i="5"/>
  <c r="A84" i="5"/>
  <c r="A83" i="5"/>
  <c r="A82" i="5"/>
  <c r="A81" i="5"/>
  <c r="A80" i="5"/>
  <c r="A79" i="5"/>
  <c r="A78" i="5"/>
  <c r="A77" i="5"/>
  <c r="A76" i="5"/>
  <c r="A75" i="5"/>
  <c r="A74" i="5"/>
  <c r="A73" i="5"/>
  <c r="A72" i="5"/>
  <c r="A71" i="5"/>
  <c r="A70" i="5"/>
  <c r="A69" i="5"/>
  <c r="A68" i="5"/>
  <c r="A67" i="5"/>
  <c r="A66" i="5"/>
  <c r="A65" i="5"/>
  <c r="A63" i="5"/>
  <c r="A62" i="5"/>
  <c r="A61" i="5"/>
  <c r="A60" i="5"/>
  <c r="A59" i="5"/>
  <c r="A58" i="5"/>
  <c r="A57" i="5"/>
  <c r="A56" i="5"/>
  <c r="A55" i="5"/>
  <c r="A53" i="5"/>
  <c r="A52" i="5"/>
  <c r="A51" i="5"/>
  <c r="A50" i="5"/>
  <c r="A49" i="5"/>
  <c r="A48" i="5"/>
  <c r="A47" i="5"/>
  <c r="A46" i="5"/>
  <c r="A45" i="5"/>
  <c r="A44" i="5"/>
  <c r="A43" i="5"/>
  <c r="A42" i="5"/>
  <c r="A41" i="5"/>
  <c r="A40" i="5"/>
  <c r="A39" i="5"/>
  <c r="A38" i="5"/>
  <c r="A37" i="5"/>
  <c r="A36" i="5"/>
  <c r="A35" i="5"/>
  <c r="A34" i="5"/>
  <c r="A32" i="5"/>
  <c r="A30" i="5"/>
  <c r="A29" i="5"/>
  <c r="A28" i="5"/>
  <c r="A27" i="5"/>
  <c r="A26" i="5"/>
  <c r="A25" i="5"/>
  <c r="A24" i="5"/>
  <c r="A23" i="5"/>
  <c r="A22" i="5"/>
  <c r="A21" i="5"/>
  <c r="A20" i="5"/>
  <c r="A19" i="5"/>
  <c r="A18" i="5"/>
  <c r="A17" i="5"/>
  <c r="A16" i="5"/>
  <c r="A15" i="5"/>
  <c r="A14" i="5"/>
  <c r="A13" i="5"/>
  <c r="A11" i="5"/>
  <c r="A9" i="5"/>
  <c r="A8" i="5"/>
  <c r="A7" i="5"/>
  <c r="A6" i="5"/>
  <c r="A5" i="5"/>
  <c r="A4" i="5"/>
  <c r="A3" i="5"/>
  <c r="F4" i="1"/>
  <c r="L3" i="1" a="1"/>
  <c r="L3" i="1" s="1"/>
  <c r="S60" i="11"/>
  <c r="J60" i="11"/>
  <c r="S59" i="11"/>
  <c r="J59" i="11"/>
  <c r="V58" i="11"/>
  <c r="S58" i="11"/>
  <c r="V57" i="11"/>
  <c r="S57" i="11"/>
  <c r="V56" i="11"/>
  <c r="P56" i="11"/>
  <c r="V55" i="11"/>
  <c r="P55" i="11"/>
  <c r="V54" i="11"/>
  <c r="P54" i="11"/>
  <c r="M54" i="11"/>
  <c r="V53" i="11"/>
  <c r="P53" i="11"/>
  <c r="M53" i="11"/>
  <c r="S52" i="11"/>
  <c r="J52" i="11"/>
  <c r="V51" i="11"/>
  <c r="S51" i="11"/>
  <c r="V50" i="11"/>
  <c r="P50" i="11"/>
  <c r="M50" i="11"/>
  <c r="V49" i="11"/>
  <c r="P49" i="11"/>
  <c r="M49" i="11"/>
  <c r="J49" i="11"/>
  <c r="S48" i="11"/>
  <c r="P48" i="11"/>
  <c r="P47" i="11"/>
  <c r="P46" i="11"/>
  <c r="V45" i="11"/>
  <c r="P45" i="11"/>
  <c r="V44" i="11"/>
  <c r="P44" i="11"/>
  <c r="M44" i="11"/>
  <c r="V43" i="11"/>
  <c r="M43" i="11"/>
  <c r="S42" i="11"/>
  <c r="J42" i="11"/>
  <c r="S41" i="11"/>
  <c r="J41" i="11"/>
  <c r="S40" i="11"/>
  <c r="J40" i="11"/>
  <c r="S39" i="11"/>
  <c r="J39" i="11"/>
  <c r="V38" i="11"/>
  <c r="P38" i="11"/>
  <c r="P37" i="11"/>
  <c r="V36" i="11"/>
  <c r="P36" i="11"/>
  <c r="M36" i="11"/>
  <c r="V35" i="11"/>
  <c r="S35" i="11"/>
  <c r="V34" i="11"/>
  <c r="S34" i="11"/>
  <c r="S33" i="11"/>
  <c r="J33" i="11"/>
  <c r="S32" i="11"/>
  <c r="J32" i="11"/>
  <c r="V31" i="11"/>
  <c r="P31" i="11"/>
  <c r="V30" i="11"/>
  <c r="P30" i="11"/>
  <c r="S29" i="11"/>
  <c r="J29" i="11"/>
  <c r="S28" i="11"/>
  <c r="J28" i="11"/>
  <c r="S27" i="11"/>
  <c r="J27" i="11"/>
  <c r="S26" i="11"/>
  <c r="J26" i="11"/>
  <c r="S25" i="11"/>
  <c r="J25" i="11"/>
  <c r="S24" i="11"/>
  <c r="J24" i="11"/>
  <c r="V23" i="11"/>
  <c r="P23" i="11"/>
  <c r="V22" i="11"/>
  <c r="V21" i="11"/>
  <c r="P21" i="11"/>
  <c r="P20" i="11"/>
  <c r="S19" i="11"/>
  <c r="J19" i="11"/>
  <c r="S18" i="11"/>
  <c r="J18" i="11"/>
  <c r="S17" i="11"/>
  <c r="V16" i="11"/>
  <c r="P16" i="11"/>
  <c r="M16" i="11"/>
  <c r="V15" i="11"/>
  <c r="P15" i="11"/>
  <c r="M15" i="11"/>
  <c r="V14" i="11"/>
  <c r="S14" i="11"/>
  <c r="V13" i="11"/>
  <c r="P13" i="11"/>
  <c r="V12" i="11"/>
  <c r="S12" i="11"/>
  <c r="S11" i="11"/>
  <c r="J11" i="11"/>
  <c r="S10" i="11"/>
  <c r="J10" i="11"/>
  <c r="S9" i="11"/>
  <c r="J9" i="11"/>
  <c r="V8" i="11"/>
  <c r="P8" i="11"/>
  <c r="S7" i="11"/>
  <c r="J7" i="11"/>
  <c r="S6" i="11"/>
  <c r="J6" i="11"/>
  <c r="S5" i="11"/>
  <c r="J5" i="11"/>
  <c r="S4" i="11"/>
  <c r="J4" i="11"/>
  <c r="U28" i="9"/>
  <c r="Q28" i="9"/>
  <c r="M28" i="9"/>
  <c r="I28" i="9"/>
  <c r="E28" i="9"/>
  <c r="U27" i="9"/>
  <c r="Q27" i="9"/>
  <c r="M27" i="9"/>
  <c r="I27" i="9"/>
  <c r="E27" i="9"/>
  <c r="U26" i="9"/>
  <c r="Q26" i="9"/>
  <c r="M26" i="9"/>
  <c r="I26" i="9"/>
  <c r="E26" i="9"/>
  <c r="F64" i="8"/>
  <c r="F62" i="8"/>
  <c r="E62" i="8"/>
  <c r="F61" i="8"/>
  <c r="E61" i="8"/>
  <c r="D61" i="8"/>
  <c r="F55" i="8"/>
  <c r="F54" i="8"/>
  <c r="E54" i="8"/>
  <c r="E53" i="8"/>
  <c r="D50" i="8"/>
  <c r="D49" i="8"/>
  <c r="F38" i="8"/>
  <c r="E38" i="8"/>
  <c r="D38" i="8"/>
  <c r="F37" i="8"/>
  <c r="E37" i="8"/>
  <c r="D37" i="8"/>
  <c r="F36" i="8"/>
  <c r="E36" i="8"/>
  <c r="D36" i="8"/>
  <c r="F35" i="8"/>
  <c r="E35" i="8"/>
  <c r="D35" i="8"/>
  <c r="F34" i="8"/>
  <c r="E34" i="8"/>
  <c r="D34" i="8"/>
  <c r="F6" i="8"/>
  <c r="E6" i="8"/>
  <c r="D6" i="8"/>
  <c r="F1" i="8"/>
  <c r="E1" i="8"/>
  <c r="D1" i="8"/>
  <c r="G297" i="3"/>
  <c r="G296" i="3"/>
  <c r="G295" i="3"/>
  <c r="G294" i="3"/>
  <c r="G293" i="3"/>
  <c r="G292" i="3"/>
  <c r="G291" i="3"/>
  <c r="G290" i="3"/>
  <c r="G289" i="3"/>
  <c r="G288" i="3"/>
  <c r="G287" i="3"/>
  <c r="G286" i="3"/>
  <c r="G285" i="3"/>
  <c r="G284" i="3"/>
  <c r="G283" i="3"/>
  <c r="G282" i="3"/>
  <c r="G281" i="3"/>
  <c r="G280" i="3"/>
  <c r="G279" i="3"/>
  <c r="G278" i="3"/>
  <c r="G277" i="3"/>
  <c r="G276" i="3"/>
  <c r="G275" i="3"/>
  <c r="G274" i="3"/>
  <c r="G273" i="3"/>
  <c r="G272" i="3"/>
  <c r="G271" i="3"/>
  <c r="G270" i="3"/>
  <c r="G269" i="3"/>
  <c r="G268" i="3"/>
  <c r="G267" i="3"/>
  <c r="G266" i="3"/>
  <c r="G265" i="3"/>
  <c r="G264" i="3"/>
  <c r="G263" i="3"/>
  <c r="G262" i="3"/>
  <c r="G261" i="3"/>
  <c r="G260" i="3"/>
  <c r="G259" i="3"/>
  <c r="G258" i="3"/>
  <c r="G257" i="3"/>
  <c r="G256" i="3"/>
  <c r="G255" i="3"/>
  <c r="G254" i="3"/>
  <c r="G253" i="3"/>
  <c r="G252" i="3"/>
  <c r="G251" i="3"/>
  <c r="G250" i="3"/>
  <c r="G249" i="3"/>
  <c r="G248" i="3"/>
  <c r="G247" i="3"/>
  <c r="G246" i="3"/>
  <c r="G245" i="3"/>
  <c r="G244" i="3"/>
  <c r="G243" i="3"/>
  <c r="G242" i="3"/>
  <c r="G241" i="3"/>
  <c r="G240" i="3"/>
  <c r="G239" i="3"/>
  <c r="G238" i="3"/>
  <c r="G237" i="3"/>
  <c r="G236" i="3"/>
  <c r="G235" i="3"/>
  <c r="G234" i="3"/>
  <c r="G233" i="3"/>
  <c r="G232" i="3"/>
  <c r="G231" i="3"/>
  <c r="G230" i="3"/>
  <c r="G229" i="3"/>
  <c r="G228" i="3"/>
  <c r="G227" i="3"/>
  <c r="G226" i="3"/>
  <c r="G225" i="3"/>
  <c r="G224" i="3"/>
  <c r="G223" i="3"/>
  <c r="G222" i="3"/>
  <c r="G221" i="3"/>
  <c r="G220" i="3"/>
  <c r="G219" i="3"/>
  <c r="G218" i="3"/>
  <c r="G217" i="3"/>
  <c r="G216" i="3"/>
  <c r="G215" i="3"/>
  <c r="G214" i="3"/>
  <c r="G213" i="3"/>
  <c r="G212" i="3"/>
  <c r="G211" i="3"/>
  <c r="G210" i="3"/>
  <c r="G209" i="3"/>
  <c r="G208" i="3"/>
  <c r="G207" i="3"/>
  <c r="G206" i="3"/>
  <c r="G205" i="3"/>
  <c r="G204" i="3"/>
  <c r="G203" i="3"/>
  <c r="G202" i="3"/>
  <c r="G201" i="3"/>
  <c r="G200" i="3"/>
  <c r="G199" i="3"/>
  <c r="G198" i="3"/>
  <c r="G197" i="3"/>
  <c r="G196" i="3"/>
  <c r="G195" i="3"/>
  <c r="G194" i="3"/>
  <c r="G193" i="3"/>
  <c r="G192" i="3"/>
  <c r="G191" i="3"/>
  <c r="G190" i="3"/>
  <c r="G189" i="3"/>
  <c r="G188" i="3"/>
  <c r="G187" i="3"/>
  <c r="G186" i="3"/>
  <c r="G185" i="3"/>
  <c r="G184" i="3"/>
  <c r="G183" i="3"/>
  <c r="G182" i="3"/>
  <c r="G181" i="3"/>
  <c r="G180" i="3"/>
  <c r="G179" i="3"/>
  <c r="G178" i="3"/>
  <c r="G177" i="3"/>
  <c r="G176" i="3"/>
  <c r="G175" i="3"/>
  <c r="G174" i="3"/>
  <c r="G173" i="3"/>
  <c r="G172" i="3"/>
  <c r="G171" i="3"/>
  <c r="G170" i="3"/>
  <c r="G169" i="3"/>
  <c r="G168" i="3"/>
  <c r="G167" i="3"/>
  <c r="G166" i="3"/>
  <c r="G165" i="3"/>
  <c r="G164" i="3"/>
  <c r="G163" i="3"/>
  <c r="G162" i="3"/>
  <c r="G161" i="3"/>
  <c r="G160" i="3"/>
  <c r="G159" i="3"/>
  <c r="G158" i="3"/>
  <c r="G157" i="3"/>
  <c r="G156" i="3"/>
  <c r="G155" i="3"/>
  <c r="G154" i="3"/>
  <c r="G153" i="3"/>
  <c r="G152" i="3"/>
  <c r="G151" i="3"/>
  <c r="G150" i="3"/>
  <c r="G149" i="3"/>
  <c r="G148" i="3"/>
  <c r="G147" i="3"/>
  <c r="G146" i="3"/>
  <c r="G145" i="3"/>
  <c r="G144" i="3"/>
  <c r="G143" i="3"/>
  <c r="G142" i="3"/>
  <c r="G141" i="3"/>
  <c r="G140" i="3"/>
  <c r="G139" i="3"/>
  <c r="G138" i="3"/>
  <c r="G137" i="3"/>
  <c r="G136" i="3"/>
  <c r="G135" i="3"/>
  <c r="G134" i="3"/>
  <c r="G133" i="3"/>
  <c r="G132" i="3"/>
  <c r="G131" i="3"/>
  <c r="G130" i="3"/>
  <c r="G129" i="3"/>
  <c r="G128" i="3"/>
  <c r="G127" i="3"/>
  <c r="G126" i="3"/>
  <c r="G125" i="3"/>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G11" i="3"/>
  <c r="G10" i="3"/>
  <c r="G9" i="3"/>
  <c r="G8" i="3"/>
  <c r="G7" i="3"/>
  <c r="G6" i="3"/>
  <c r="G5" i="3"/>
  <c r="G4" i="3"/>
  <c r="G3" i="3"/>
  <c r="G2" i="3"/>
  <c r="G2558" i="2"/>
  <c r="G2551" i="2"/>
  <c r="G2547" i="2"/>
  <c r="G2541" i="2"/>
  <c r="G2537" i="2"/>
  <c r="G2530" i="2"/>
  <c r="G2526" i="2"/>
  <c r="G2519" i="2"/>
  <c r="G2515" i="2"/>
  <c r="G2509" i="2"/>
  <c r="G2505" i="2"/>
  <c r="G2498" i="2"/>
  <c r="G2494" i="2"/>
  <c r="G2487" i="2"/>
  <c r="G2483" i="2"/>
  <c r="G2477" i="2"/>
  <c r="G2473" i="2"/>
  <c r="G2466" i="2"/>
  <c r="G2462" i="2"/>
  <c r="G2455" i="2"/>
  <c r="G2451" i="2"/>
  <c r="G2445" i="2"/>
  <c r="G2441" i="2"/>
  <c r="G2434" i="2"/>
  <c r="G2430" i="2"/>
  <c r="G2423" i="2"/>
  <c r="G2419" i="2"/>
  <c r="G2413" i="2"/>
  <c r="G2409" i="2"/>
  <c r="G2402" i="2"/>
  <c r="G2398" i="2"/>
  <c r="G2391" i="2"/>
  <c r="G2387" i="2"/>
  <c r="G2381" i="2"/>
  <c r="G2377" i="2"/>
  <c r="G2370" i="2"/>
  <c r="G2366" i="2"/>
  <c r="G2359" i="2"/>
  <c r="G2355" i="2"/>
  <c r="G2349" i="2"/>
  <c r="G2345" i="2"/>
  <c r="G2338" i="2"/>
  <c r="G2334" i="2"/>
  <c r="G2327" i="2"/>
  <c r="G2323" i="2"/>
  <c r="G2317" i="2"/>
  <c r="G2313" i="2"/>
  <c r="G2306" i="2"/>
  <c r="G2302" i="2"/>
  <c r="G2295" i="2"/>
  <c r="G2291" i="2"/>
  <c r="G2285" i="2"/>
  <c r="G2281" i="2"/>
  <c r="G2274" i="2"/>
  <c r="G2270" i="2"/>
  <c r="G2263" i="2"/>
  <c r="G2259" i="2"/>
  <c r="G2253" i="2"/>
  <c r="G2249" i="2"/>
  <c r="G2242" i="2"/>
  <c r="G2238" i="2"/>
  <c r="G2231" i="2"/>
  <c r="G2227" i="2"/>
  <c r="G2221" i="2"/>
  <c r="G2217" i="2"/>
  <c r="G2210" i="2"/>
  <c r="G2206" i="2"/>
  <c r="G2199" i="2"/>
  <c r="G2195" i="2"/>
  <c r="G2189" i="2"/>
  <c r="G2185" i="2"/>
  <c r="G2178" i="2"/>
  <c r="G2174" i="2"/>
  <c r="G2167" i="2"/>
  <c r="G2163" i="2"/>
  <c r="G2157" i="2"/>
  <c r="G2153" i="2"/>
  <c r="G2146" i="2"/>
  <c r="G2142" i="2"/>
  <c r="G2135" i="2"/>
  <c r="G2131" i="2"/>
  <c r="G2125" i="2"/>
  <c r="G2121" i="2"/>
  <c r="G2114" i="2"/>
  <c r="G2110" i="2"/>
  <c r="G2103" i="2"/>
  <c r="G2099" i="2"/>
  <c r="G2093" i="2"/>
  <c r="G2089" i="2"/>
  <c r="G2082" i="2"/>
  <c r="G2078" i="2"/>
  <c r="G2071" i="2"/>
  <c r="G2067" i="2"/>
  <c r="G2061" i="2"/>
  <c r="G2057" i="2"/>
  <c r="G2050" i="2"/>
  <c r="G2046" i="2"/>
  <c r="G2039" i="2"/>
  <c r="G2035" i="2"/>
  <c r="G2029" i="2"/>
  <c r="G2025" i="2"/>
  <c r="G2018" i="2"/>
  <c r="G2014" i="2"/>
  <c r="G2007" i="2"/>
  <c r="G2003" i="2"/>
  <c r="G1997" i="2"/>
  <c r="G1993" i="2"/>
  <c r="G1986" i="2"/>
  <c r="G1982" i="2"/>
  <c r="G1975" i="2"/>
  <c r="G1971" i="2"/>
  <c r="G1965" i="2"/>
  <c r="G1961" i="2"/>
  <c r="G1954" i="2"/>
  <c r="G1950" i="2"/>
  <c r="G1943" i="2"/>
  <c r="G1939" i="2"/>
  <c r="G1933" i="2"/>
  <c r="G1929" i="2"/>
  <c r="G1922" i="2"/>
  <c r="G1918" i="2"/>
  <c r="G1911" i="2"/>
  <c r="G1907" i="2"/>
  <c r="G1901" i="2"/>
  <c r="G1897" i="2"/>
  <c r="G1890" i="2"/>
  <c r="G1886" i="2"/>
  <c r="G1879" i="2"/>
  <c r="G1875" i="2"/>
  <c r="G1869" i="2"/>
  <c r="G1865" i="2"/>
  <c r="G1858" i="2"/>
  <c r="G1854" i="2"/>
  <c r="G1847" i="2"/>
  <c r="G1843" i="2"/>
  <c r="G1837" i="2"/>
  <c r="G1833" i="2"/>
  <c r="G1826" i="2"/>
  <c r="G1822" i="2"/>
  <c r="G1815" i="2"/>
  <c r="G1811" i="2"/>
  <c r="G1805" i="2"/>
  <c r="G1801" i="2"/>
  <c r="G1794" i="2"/>
  <c r="G1790" i="2"/>
  <c r="G1783" i="2"/>
  <c r="G1779" i="2"/>
  <c r="G1773" i="2"/>
  <c r="G1769" i="2"/>
  <c r="G1762" i="2"/>
  <c r="G1758" i="2"/>
  <c r="G1751" i="2"/>
  <c r="G1747" i="2"/>
  <c r="G1741" i="2"/>
  <c r="G1737" i="2"/>
  <c r="G1730" i="2"/>
  <c r="G1726" i="2"/>
  <c r="G1719" i="2"/>
  <c r="G1715" i="2"/>
  <c r="G1709" i="2"/>
  <c r="G1705" i="2"/>
  <c r="G1698" i="2"/>
  <c r="G1694" i="2"/>
  <c r="G1687" i="2"/>
  <c r="G1683" i="2"/>
  <c r="G1677" i="2"/>
  <c r="G1673" i="2"/>
  <c r="G1666" i="2"/>
  <c r="G1662" i="2"/>
  <c r="G1655" i="2"/>
  <c r="G1651" i="2"/>
  <c r="G1645" i="2"/>
  <c r="G1641" i="2"/>
  <c r="G1634" i="2"/>
  <c r="G1630" i="2"/>
  <c r="G1623" i="2"/>
  <c r="G1619" i="2"/>
  <c r="G1613" i="2"/>
  <c r="G1609" i="2"/>
  <c r="G1602" i="2"/>
  <c r="G1598" i="2"/>
  <c r="G1591" i="2"/>
  <c r="G1587" i="2"/>
  <c r="G1581" i="2"/>
  <c r="G1577" i="2"/>
  <c r="G1570" i="2"/>
  <c r="G1566" i="2"/>
  <c r="G1559" i="2"/>
  <c r="G1555" i="2"/>
  <c r="G1549" i="2"/>
  <c r="G1545" i="2"/>
  <c r="G1538" i="2"/>
  <c r="G1534" i="2"/>
  <c r="G1527" i="2"/>
  <c r="G1523" i="2"/>
  <c r="G1517" i="2"/>
  <c r="G1513" i="2"/>
  <c r="G1506" i="2"/>
  <c r="G1502" i="2"/>
  <c r="G1495" i="2"/>
  <c r="G1491" i="2"/>
  <c r="G1485" i="2"/>
  <c r="G1481" i="2"/>
  <c r="G1474" i="2"/>
  <c r="G1470" i="2"/>
  <c r="G1463" i="2"/>
  <c r="G1459" i="2"/>
  <c r="G1453" i="2"/>
  <c r="G1449" i="2"/>
  <c r="G1442" i="2"/>
  <c r="G1438" i="2"/>
  <c r="G1431" i="2"/>
  <c r="G1427" i="2"/>
  <c r="G1421" i="2"/>
  <c r="G1417" i="2"/>
  <c r="G1410" i="2"/>
  <c r="G1406" i="2"/>
  <c r="G1399" i="2"/>
  <c r="G1395" i="2"/>
  <c r="G1389" i="2"/>
  <c r="G1385" i="2"/>
  <c r="G1378" i="2"/>
  <c r="G1374" i="2"/>
  <c r="G1367" i="2"/>
  <c r="G1363" i="2"/>
  <c r="G1357" i="2"/>
  <c r="G1353" i="2"/>
  <c r="G1346" i="2"/>
  <c r="G1342" i="2"/>
  <c r="G1335" i="2"/>
  <c r="G1331" i="2"/>
  <c r="G1325" i="2"/>
  <c r="G1321" i="2"/>
  <c r="G1314" i="2"/>
  <c r="G1310" i="2"/>
  <c r="G1303" i="2"/>
  <c r="G1299" i="2"/>
  <c r="G1294" i="2"/>
  <c r="G1291" i="2"/>
  <c r="G1286" i="2"/>
  <c r="G1283" i="2"/>
  <c r="G1278" i="2"/>
  <c r="G1275" i="2"/>
  <c r="G1270" i="2"/>
  <c r="G1267" i="2"/>
  <c r="G1262" i="2"/>
  <c r="G1259" i="2"/>
  <c r="G1254" i="2"/>
  <c r="G1251" i="2"/>
  <c r="G1246" i="2"/>
  <c r="G1243" i="2"/>
  <c r="G1238" i="2"/>
  <c r="G1235" i="2"/>
  <c r="G1230" i="2"/>
  <c r="G1227" i="2"/>
  <c r="G1222" i="2"/>
  <c r="G1219" i="2"/>
  <c r="G1214" i="2"/>
  <c r="G1211" i="2"/>
  <c r="G1206" i="2"/>
  <c r="G1203" i="2"/>
  <c r="G1198" i="2"/>
  <c r="G1195" i="2"/>
  <c r="G1190" i="2"/>
  <c r="G1187" i="2"/>
  <c r="G1182" i="2"/>
  <c r="G1179" i="2"/>
  <c r="G1174" i="2"/>
  <c r="G1171" i="2"/>
  <c r="G1166" i="2"/>
  <c r="G1163" i="2"/>
  <c r="G1158" i="2"/>
  <c r="G1155" i="2"/>
  <c r="G1150" i="2"/>
  <c r="G1147" i="2"/>
  <c r="G1142" i="2"/>
  <c r="G1139" i="2"/>
  <c r="G1134" i="2"/>
  <c r="G1131" i="2"/>
  <c r="G1126" i="2"/>
  <c r="G1123" i="2"/>
  <c r="G1118" i="2"/>
  <c r="G1115" i="2"/>
  <c r="G1110" i="2"/>
  <c r="G1107" i="2"/>
  <c r="G1102" i="2"/>
  <c r="G1099" i="2"/>
  <c r="G1094" i="2"/>
  <c r="G1091" i="2"/>
  <c r="G1086" i="2"/>
  <c r="G1083" i="2"/>
  <c r="G1078" i="2"/>
  <c r="G1075" i="2"/>
  <c r="G1070" i="2"/>
  <c r="G1067" i="2"/>
  <c r="G1062" i="2"/>
  <c r="G1059" i="2"/>
  <c r="G1054" i="2"/>
  <c r="G1051" i="2"/>
  <c r="G1046" i="2"/>
  <c r="G1043" i="2"/>
  <c r="G1038" i="2"/>
  <c r="G1035" i="2"/>
  <c r="G1030" i="2"/>
  <c r="G1027" i="2"/>
  <c r="G1022" i="2"/>
  <c r="G1019" i="2"/>
  <c r="G1014" i="2"/>
  <c r="G1011" i="2"/>
  <c r="G1006" i="2"/>
  <c r="G1003" i="2"/>
  <c r="G998" i="2"/>
  <c r="G995" i="2"/>
  <c r="G990" i="2"/>
  <c r="G987" i="2"/>
  <c r="G982" i="2"/>
  <c r="G979" i="2"/>
  <c r="G974" i="2"/>
  <c r="G971" i="2"/>
  <c r="G966" i="2"/>
  <c r="G963" i="2"/>
  <c r="G958" i="2"/>
  <c r="G955" i="2"/>
  <c r="G950" i="2"/>
  <c r="G947" i="2"/>
  <c r="G942" i="2"/>
  <c r="G939" i="2"/>
  <c r="G934" i="2"/>
  <c r="G931" i="2"/>
  <c r="G926" i="2"/>
  <c r="G923" i="2"/>
  <c r="G918" i="2"/>
  <c r="G915" i="2"/>
  <c r="G910" i="2"/>
  <c r="G907" i="2"/>
  <c r="G902" i="2"/>
  <c r="G899" i="2"/>
  <c r="G894" i="2"/>
  <c r="G891" i="2"/>
  <c r="G886" i="2"/>
  <c r="G883" i="2"/>
  <c r="G878" i="2"/>
  <c r="G875" i="2"/>
  <c r="G870" i="2"/>
  <c r="G867" i="2"/>
  <c r="G862" i="2"/>
  <c r="G859" i="2"/>
  <c r="G854" i="2"/>
  <c r="G851" i="2"/>
  <c r="G846" i="2"/>
  <c r="G843" i="2"/>
  <c r="G838" i="2"/>
  <c r="G835" i="2"/>
  <c r="G830" i="2"/>
  <c r="G827" i="2"/>
  <c r="G822" i="2"/>
  <c r="G819" i="2"/>
  <c r="G814" i="2"/>
  <c r="G811" i="2"/>
  <c r="G806" i="2"/>
  <c r="G803" i="2"/>
  <c r="G798" i="2"/>
  <c r="G795" i="2"/>
  <c r="G790" i="2"/>
  <c r="G787" i="2"/>
  <c r="G782" i="2"/>
  <c r="G779" i="2"/>
  <c r="G774" i="2"/>
  <c r="G771" i="2"/>
  <c r="G766" i="2"/>
  <c r="G763" i="2"/>
  <c r="G758" i="2"/>
  <c r="G755" i="2"/>
  <c r="G750" i="2"/>
  <c r="G747" i="2"/>
  <c r="G742" i="2"/>
  <c r="G739" i="2"/>
  <c r="G734" i="2"/>
  <c r="G731" i="2"/>
  <c r="G726" i="2"/>
  <c r="G723" i="2"/>
  <c r="G718" i="2"/>
  <c r="G715" i="2"/>
  <c r="G710" i="2"/>
  <c r="G707" i="2"/>
  <c r="G702" i="2"/>
  <c r="G699" i="2"/>
  <c r="G694" i="2"/>
  <c r="G691" i="2"/>
  <c r="G686" i="2"/>
  <c r="G683" i="2"/>
  <c r="G678" i="2"/>
  <c r="G675" i="2"/>
  <c r="G670" i="2"/>
  <c r="G667" i="2"/>
  <c r="G662" i="2"/>
  <c r="G659" i="2"/>
  <c r="G654" i="2"/>
  <c r="G651" i="2"/>
  <c r="G646" i="2"/>
  <c r="G643" i="2"/>
  <c r="G638" i="2"/>
  <c r="G635" i="2"/>
  <c r="G630" i="2"/>
  <c r="G627" i="2"/>
  <c r="G622" i="2"/>
  <c r="G619" i="2"/>
  <c r="G614" i="2"/>
  <c r="G611" i="2"/>
  <c r="G606" i="2"/>
  <c r="G603" i="2"/>
  <c r="G598" i="2"/>
  <c r="G595" i="2"/>
  <c r="G590" i="2"/>
  <c r="G587" i="2"/>
  <c r="G582" i="2"/>
  <c r="G579" i="2"/>
  <c r="G574" i="2"/>
  <c r="G571" i="2"/>
  <c r="G566" i="2"/>
  <c r="G563" i="2"/>
  <c r="G558" i="2"/>
  <c r="G555" i="2"/>
  <c r="G550" i="2"/>
  <c r="G547" i="2"/>
  <c r="G542" i="2"/>
  <c r="G539" i="2"/>
  <c r="G534" i="2"/>
  <c r="G531" i="2"/>
  <c r="G526" i="2"/>
  <c r="G523" i="2"/>
  <c r="G518" i="2"/>
  <c r="G515" i="2"/>
  <c r="G510" i="2"/>
  <c r="G507" i="2"/>
  <c r="G502" i="2"/>
  <c r="G499" i="2"/>
  <c r="G494" i="2"/>
  <c r="G491" i="2"/>
  <c r="G486" i="2"/>
  <c r="G483" i="2"/>
  <c r="G478" i="2"/>
  <c r="G475" i="2"/>
  <c r="G470" i="2"/>
  <c r="G467" i="2"/>
  <c r="G462" i="2"/>
  <c r="G459" i="2"/>
  <c r="G454" i="2"/>
  <c r="G451" i="2"/>
  <c r="G446" i="2"/>
  <c r="G443" i="2"/>
  <c r="G438" i="2"/>
  <c r="G435" i="2"/>
  <c r="G430" i="2"/>
  <c r="G427" i="2"/>
  <c r="G422" i="2"/>
  <c r="G419" i="2"/>
  <c r="G414" i="2"/>
  <c r="G411" i="2"/>
  <c r="G406" i="2"/>
  <c r="G403" i="2"/>
  <c r="G398" i="2"/>
  <c r="G395" i="2"/>
  <c r="G390" i="2"/>
  <c r="G387" i="2"/>
  <c r="G382" i="2"/>
  <c r="G379" i="2"/>
  <c r="G374" i="2"/>
  <c r="G371" i="2"/>
  <c r="G366" i="2"/>
  <c r="G363" i="2"/>
  <c r="G358" i="2"/>
  <c r="G355" i="2"/>
  <c r="G350" i="2"/>
  <c r="G347" i="2"/>
  <c r="G342" i="2"/>
  <c r="G339" i="2"/>
  <c r="G334" i="2"/>
  <c r="G331" i="2"/>
  <c r="G326" i="2"/>
  <c r="G323" i="2"/>
  <c r="G318" i="2"/>
  <c r="G315" i="2"/>
  <c r="G310" i="2"/>
  <c r="G307" i="2"/>
  <c r="G302" i="2"/>
  <c r="G299" i="2"/>
  <c r="G294" i="2"/>
  <c r="G291" i="2"/>
  <c r="G286" i="2"/>
  <c r="G283" i="2"/>
  <c r="G278" i="2"/>
  <c r="G275" i="2"/>
  <c r="G270" i="2"/>
  <c r="G267" i="2"/>
  <c r="G262" i="2"/>
  <c r="G259" i="2"/>
  <c r="G254" i="2"/>
  <c r="G251" i="2"/>
  <c r="G246" i="2"/>
  <c r="G243" i="2"/>
  <c r="G238" i="2"/>
  <c r="G235" i="2"/>
  <c r="G230" i="2"/>
  <c r="G227" i="2"/>
  <c r="G222" i="2"/>
  <c r="G219" i="2"/>
  <c r="G214" i="2"/>
  <c r="G211" i="2"/>
  <c r="G206" i="2"/>
  <c r="G203" i="2"/>
  <c r="G198" i="2"/>
  <c r="G195" i="2"/>
  <c r="G190" i="2"/>
  <c r="G187" i="2"/>
  <c r="G182" i="2"/>
  <c r="G179" i="2"/>
  <c r="G174" i="2"/>
  <c r="G171" i="2"/>
  <c r="G166" i="2"/>
  <c r="G163" i="2"/>
  <c r="G158" i="2"/>
  <c r="G155" i="2"/>
  <c r="G150" i="2"/>
  <c r="G147" i="2"/>
  <c r="G142" i="2"/>
  <c r="G139" i="2"/>
  <c r="G134" i="2"/>
  <c r="G131" i="2"/>
  <c r="G126" i="2"/>
  <c r="G123" i="2"/>
  <c r="G118" i="2"/>
  <c r="G115" i="2"/>
  <c r="G110" i="2"/>
  <c r="G107" i="2"/>
  <c r="G102" i="2"/>
  <c r="G99" i="2"/>
  <c r="G94" i="2"/>
  <c r="G91" i="2"/>
  <c r="G86" i="2"/>
  <c r="G83" i="2"/>
  <c r="G78" i="2"/>
  <c r="G75" i="2"/>
  <c r="G70" i="2"/>
  <c r="G67" i="2"/>
  <c r="G62" i="2"/>
  <c r="G59" i="2"/>
  <c r="G54" i="2"/>
  <c r="G51" i="2"/>
  <c r="G46" i="2"/>
  <c r="G43" i="2"/>
  <c r="G38" i="2"/>
  <c r="G35" i="2"/>
  <c r="G30" i="2"/>
  <c r="G27" i="2"/>
  <c r="G22" i="2"/>
  <c r="G19" i="2"/>
  <c r="G14" i="2"/>
  <c r="G11" i="2"/>
  <c r="G6" i="2"/>
  <c r="G3" i="2"/>
  <c r="G2" i="2" a="1"/>
  <c r="G2553" i="2" s="1"/>
  <c r="A499" i="2"/>
  <c r="A496" i="2"/>
  <c r="A495" i="2"/>
  <c r="A492" i="2"/>
  <c r="A491" i="2"/>
  <c r="A488" i="2"/>
  <c r="A487" i="2"/>
  <c r="A484" i="2"/>
  <c r="A483" i="2"/>
  <c r="A480" i="2"/>
  <c r="A479" i="2"/>
  <c r="A476" i="2"/>
  <c r="A475" i="2"/>
  <c r="A472" i="2"/>
  <c r="A471" i="2"/>
  <c r="A468" i="2"/>
  <c r="A467" i="2"/>
  <c r="A464" i="2"/>
  <c r="A463" i="2"/>
  <c r="A460" i="2"/>
  <c r="A459" i="2"/>
  <c r="A456" i="2"/>
  <c r="A455" i="2"/>
  <c r="A452" i="2"/>
  <c r="A451" i="2"/>
  <c r="A448" i="2"/>
  <c r="A447" i="2"/>
  <c r="A444" i="2"/>
  <c r="A443" i="2"/>
  <c r="A440" i="2"/>
  <c r="A439" i="2"/>
  <c r="A436" i="2"/>
  <c r="A435" i="2"/>
  <c r="A432" i="2"/>
  <c r="A431" i="2"/>
  <c r="A428" i="2"/>
  <c r="A427" i="2"/>
  <c r="A424" i="2"/>
  <c r="A423" i="2"/>
  <c r="A420" i="2"/>
  <c r="A419" i="2"/>
  <c r="A416" i="2"/>
  <c r="A415" i="2"/>
  <c r="A412" i="2"/>
  <c r="A411" i="2"/>
  <c r="A408" i="2"/>
  <c r="A407" i="2"/>
  <c r="A404" i="2"/>
  <c r="A403" i="2"/>
  <c r="A400" i="2"/>
  <c r="A399" i="2"/>
  <c r="A396" i="2"/>
  <c r="A395" i="2"/>
  <c r="A392" i="2"/>
  <c r="A391" i="2"/>
  <c r="A388" i="2"/>
  <c r="A387" i="2"/>
  <c r="A384" i="2"/>
  <c r="A383" i="2"/>
  <c r="A380" i="2"/>
  <c r="A379" i="2"/>
  <c r="A376" i="2"/>
  <c r="A375" i="2"/>
  <c r="A372" i="2"/>
  <c r="A371" i="2"/>
  <c r="A368" i="2"/>
  <c r="A367" i="2"/>
  <c r="A364" i="2"/>
  <c r="A363" i="2"/>
  <c r="A360" i="2"/>
  <c r="A359" i="2"/>
  <c r="A356" i="2"/>
  <c r="A355" i="2"/>
  <c r="A352" i="2"/>
  <c r="A351" i="2"/>
  <c r="A348" i="2"/>
  <c r="A347" i="2"/>
  <c r="A344" i="2"/>
  <c r="A343" i="2"/>
  <c r="A340" i="2"/>
  <c r="A339" i="2"/>
  <c r="A336" i="2"/>
  <c r="A335" i="2"/>
  <c r="A332" i="2"/>
  <c r="A331" i="2"/>
  <c r="A328" i="2"/>
  <c r="A327" i="2"/>
  <c r="A324" i="2"/>
  <c r="A323" i="2"/>
  <c r="A320" i="2"/>
  <c r="A319" i="2"/>
  <c r="A316" i="2"/>
  <c r="A315" i="2"/>
  <c r="A312" i="2"/>
  <c r="A311" i="2"/>
  <c r="A308" i="2"/>
  <c r="A307" i="2"/>
  <c r="A304" i="2"/>
  <c r="A303" i="2"/>
  <c r="A300" i="2"/>
  <c r="A299" i="2"/>
  <c r="A296" i="2"/>
  <c r="A295" i="2"/>
  <c r="A292" i="2"/>
  <c r="A291" i="2"/>
  <c r="A288" i="2"/>
  <c r="A287" i="2"/>
  <c r="A284" i="2"/>
  <c r="A283" i="2"/>
  <c r="A280" i="2"/>
  <c r="A279" i="2"/>
  <c r="A276" i="2"/>
  <c r="A275" i="2"/>
  <c r="A272" i="2"/>
  <c r="A271" i="2"/>
  <c r="A268" i="2"/>
  <c r="A267" i="2"/>
  <c r="A264" i="2"/>
  <c r="A263" i="2"/>
  <c r="A260" i="2"/>
  <c r="A259" i="2"/>
  <c r="A256" i="2"/>
  <c r="A255" i="2"/>
  <c r="A252" i="2"/>
  <c r="A251" i="2"/>
  <c r="A248" i="2"/>
  <c r="A247" i="2"/>
  <c r="A244" i="2"/>
  <c r="A243" i="2"/>
  <c r="A240" i="2"/>
  <c r="A239" i="2"/>
  <c r="A236" i="2"/>
  <c r="A235" i="2"/>
  <c r="A232" i="2"/>
  <c r="A231" i="2"/>
  <c r="A228" i="2"/>
  <c r="A227" i="2"/>
  <c r="A224" i="2"/>
  <c r="A223" i="2"/>
  <c r="A220" i="2"/>
  <c r="A219" i="2"/>
  <c r="A216" i="2"/>
  <c r="A215" i="2"/>
  <c r="A212" i="2"/>
  <c r="A211" i="2"/>
  <c r="A208" i="2"/>
  <c r="A207" i="2"/>
  <c r="A204" i="2"/>
  <c r="A203" i="2"/>
  <c r="A200" i="2"/>
  <c r="A199" i="2"/>
  <c r="A196" i="2"/>
  <c r="A195" i="2"/>
  <c r="A192" i="2"/>
  <c r="A191" i="2"/>
  <c r="A188" i="2"/>
  <c r="A187" i="2"/>
  <c r="A184" i="2"/>
  <c r="A183" i="2"/>
  <c r="A180" i="2"/>
  <c r="A179" i="2"/>
  <c r="A176" i="2"/>
  <c r="A175" i="2"/>
  <c r="A172" i="2"/>
  <c r="A171" i="2"/>
  <c r="A168" i="2"/>
  <c r="A167" i="2"/>
  <c r="A164" i="2"/>
  <c r="A163" i="2"/>
  <c r="A160" i="2"/>
  <c r="A159" i="2"/>
  <c r="A156" i="2"/>
  <c r="A155" i="2"/>
  <c r="A152" i="2"/>
  <c r="A151" i="2"/>
  <c r="A148" i="2"/>
  <c r="A147" i="2"/>
  <c r="A144" i="2"/>
  <c r="A143" i="2"/>
  <c r="A140" i="2"/>
  <c r="A139" i="2"/>
  <c r="A136" i="2"/>
  <c r="A135" i="2"/>
  <c r="A132" i="2"/>
  <c r="A131" i="2"/>
  <c r="A128" i="2"/>
  <c r="A127" i="2"/>
  <c r="A124" i="2"/>
  <c r="A123" i="2"/>
  <c r="A120" i="2"/>
  <c r="A119" i="2"/>
  <c r="A116" i="2"/>
  <c r="A115" i="2"/>
  <c r="A112" i="2"/>
  <c r="A111" i="2"/>
  <c r="A108" i="2"/>
  <c r="A107" i="2"/>
  <c r="A104" i="2"/>
  <c r="A103" i="2"/>
  <c r="A100" i="2"/>
  <c r="A99" i="2"/>
  <c r="A96" i="2"/>
  <c r="A95" i="2"/>
  <c r="A92" i="2"/>
  <c r="A91" i="2"/>
  <c r="A88" i="2"/>
  <c r="A87" i="2"/>
  <c r="A84" i="2"/>
  <c r="A83" i="2"/>
  <c r="A80" i="2"/>
  <c r="A79" i="2"/>
  <c r="A76" i="2"/>
  <c r="A75" i="2"/>
  <c r="A72" i="2"/>
  <c r="A71" i="2"/>
  <c r="A68" i="2"/>
  <c r="A67" i="2"/>
  <c r="A64" i="2"/>
  <c r="A63" i="2"/>
  <c r="A60" i="2"/>
  <c r="A59" i="2"/>
  <c r="A56" i="2"/>
  <c r="A55" i="2"/>
  <c r="A52" i="2"/>
  <c r="A51" i="2"/>
  <c r="A48" i="2"/>
  <c r="A47" i="2"/>
  <c r="A44" i="2"/>
  <c r="A43" i="2"/>
  <c r="A40" i="2"/>
  <c r="A39" i="2"/>
  <c r="A36" i="2"/>
  <c r="A35" i="2"/>
  <c r="A32" i="2"/>
  <c r="A31" i="2"/>
  <c r="A28" i="2"/>
  <c r="A27" i="2"/>
  <c r="A24" i="2"/>
  <c r="A23" i="2"/>
  <c r="A20" i="2"/>
  <c r="A19" i="2"/>
  <c r="A16" i="2"/>
  <c r="A15" i="2"/>
  <c r="A12" i="2"/>
  <c r="A11" i="2"/>
  <c r="A8" i="2"/>
  <c r="A7" i="2"/>
  <c r="A4" i="2"/>
  <c r="A3" i="2"/>
  <c r="A2" i="2" a="1"/>
  <c r="A498" i="2" s="1"/>
  <c r="A2" i="2" l="1"/>
  <c r="A5" i="2"/>
  <c r="A9" i="2"/>
  <c r="A13" i="2"/>
  <c r="A17" i="2"/>
  <c r="A21" i="2"/>
  <c r="A25" i="2"/>
  <c r="A29" i="2"/>
  <c r="A33" i="2"/>
  <c r="A37" i="2"/>
  <c r="A41" i="2"/>
  <c r="A45" i="2"/>
  <c r="A49" i="2"/>
  <c r="A53" i="2"/>
  <c r="A57" i="2"/>
  <c r="A61" i="2"/>
  <c r="A65" i="2"/>
  <c r="A69" i="2"/>
  <c r="A73" i="2"/>
  <c r="A77" i="2"/>
  <c r="A81" i="2"/>
  <c r="A85" i="2"/>
  <c r="A89" i="2"/>
  <c r="A93" i="2"/>
  <c r="A97" i="2"/>
  <c r="A101" i="2"/>
  <c r="A105" i="2"/>
  <c r="A109" i="2"/>
  <c r="A113" i="2"/>
  <c r="A117" i="2"/>
  <c r="A121" i="2"/>
  <c r="A125" i="2"/>
  <c r="A129" i="2"/>
  <c r="A133" i="2"/>
  <c r="A137" i="2"/>
  <c r="A141" i="2"/>
  <c r="A145" i="2"/>
  <c r="A149" i="2"/>
  <c r="A153" i="2"/>
  <c r="A157" i="2"/>
  <c r="A161" i="2"/>
  <c r="A165" i="2"/>
  <c r="A169" i="2"/>
  <c r="A173" i="2"/>
  <c r="A177" i="2"/>
  <c r="A181" i="2"/>
  <c r="A185" i="2"/>
  <c r="A189" i="2"/>
  <c r="A193" i="2"/>
  <c r="A197" i="2"/>
  <c r="A201" i="2"/>
  <c r="A205" i="2"/>
  <c r="A209" i="2"/>
  <c r="A213" i="2"/>
  <c r="A217" i="2"/>
  <c r="A221" i="2"/>
  <c r="A225" i="2"/>
  <c r="A229" i="2"/>
  <c r="A233" i="2"/>
  <c r="A237" i="2"/>
  <c r="A241" i="2"/>
  <c r="A245" i="2"/>
  <c r="A249" i="2"/>
  <c r="A253" i="2"/>
  <c r="A257" i="2"/>
  <c r="A261" i="2"/>
  <c r="A265" i="2"/>
  <c r="A269" i="2"/>
  <c r="A273" i="2"/>
  <c r="A277" i="2"/>
  <c r="A281" i="2"/>
  <c r="A285" i="2"/>
  <c r="A289" i="2"/>
  <c r="A293" i="2"/>
  <c r="A297" i="2"/>
  <c r="A301" i="2"/>
  <c r="A305" i="2"/>
  <c r="A309" i="2"/>
  <c r="A313" i="2"/>
  <c r="A317" i="2"/>
  <c r="A321" i="2"/>
  <c r="A325" i="2"/>
  <c r="A329" i="2"/>
  <c r="A333" i="2"/>
  <c r="A337" i="2"/>
  <c r="A341" i="2"/>
  <c r="A345" i="2"/>
  <c r="A349" i="2"/>
  <c r="A353" i="2"/>
  <c r="A357" i="2"/>
  <c r="A361" i="2"/>
  <c r="A365" i="2"/>
  <c r="A369" i="2"/>
  <c r="A373" i="2"/>
  <c r="A377" i="2"/>
  <c r="A381" i="2"/>
  <c r="A385" i="2"/>
  <c r="A389" i="2"/>
  <c r="A393" i="2"/>
  <c r="A397" i="2"/>
  <c r="A401" i="2"/>
  <c r="A405" i="2"/>
  <c r="A409" i="2"/>
  <c r="A413" i="2"/>
  <c r="A417" i="2"/>
  <c r="A421" i="2"/>
  <c r="A425" i="2"/>
  <c r="A429" i="2"/>
  <c r="A433" i="2"/>
  <c r="A437" i="2"/>
  <c r="A441" i="2"/>
  <c r="A445" i="2"/>
  <c r="A449" i="2"/>
  <c r="A453" i="2"/>
  <c r="A457" i="2"/>
  <c r="A461" i="2"/>
  <c r="A465" i="2"/>
  <c r="A469" i="2"/>
  <c r="A473" i="2"/>
  <c r="A477" i="2"/>
  <c r="A481" i="2"/>
  <c r="A485" i="2"/>
  <c r="A489" i="2"/>
  <c r="A493" i="2"/>
  <c r="A497" i="2"/>
  <c r="A6" i="2"/>
  <c r="A10" i="2"/>
  <c r="A14" i="2"/>
  <c r="A18" i="2"/>
  <c r="A22" i="2"/>
  <c r="A26" i="2"/>
  <c r="A30" i="2"/>
  <c r="A34" i="2"/>
  <c r="A38" i="2"/>
  <c r="A42" i="2"/>
  <c r="A46" i="2"/>
  <c r="A50" i="2"/>
  <c r="A54" i="2"/>
  <c r="A58" i="2"/>
  <c r="A62" i="2"/>
  <c r="A66" i="2"/>
  <c r="A70" i="2"/>
  <c r="A74" i="2"/>
  <c r="A78" i="2"/>
  <c r="A82" i="2"/>
  <c r="A86" i="2"/>
  <c r="A90" i="2"/>
  <c r="A94" i="2"/>
  <c r="A98" i="2"/>
  <c r="A102" i="2"/>
  <c r="A106" i="2"/>
  <c r="A110" i="2"/>
  <c r="A114" i="2"/>
  <c r="A118" i="2"/>
  <c r="A122" i="2"/>
  <c r="A126" i="2"/>
  <c r="A130" i="2"/>
  <c r="A134" i="2"/>
  <c r="A138" i="2"/>
  <c r="A142" i="2"/>
  <c r="A146" i="2"/>
  <c r="A150" i="2"/>
  <c r="A154" i="2"/>
  <c r="A158" i="2"/>
  <c r="A162" i="2"/>
  <c r="A166" i="2"/>
  <c r="A170" i="2"/>
  <c r="A174" i="2"/>
  <c r="A178" i="2"/>
  <c r="A182" i="2"/>
  <c r="A186" i="2"/>
  <c r="A190" i="2"/>
  <c r="A194" i="2"/>
  <c r="A198" i="2"/>
  <c r="A202" i="2"/>
  <c r="A206" i="2"/>
  <c r="A210" i="2"/>
  <c r="A214" i="2"/>
  <c r="A218" i="2"/>
  <c r="A222" i="2"/>
  <c r="A226" i="2"/>
  <c r="A230" i="2"/>
  <c r="A234" i="2"/>
  <c r="A238" i="2"/>
  <c r="A242" i="2"/>
  <c r="A246" i="2"/>
  <c r="A250" i="2"/>
  <c r="A254" i="2"/>
  <c r="A258" i="2"/>
  <c r="A262" i="2"/>
  <c r="A266" i="2"/>
  <c r="A270" i="2"/>
  <c r="A274" i="2"/>
  <c r="A278" i="2"/>
  <c r="A282" i="2"/>
  <c r="A286" i="2"/>
  <c r="A290" i="2"/>
  <c r="A294" i="2"/>
  <c r="A298" i="2"/>
  <c r="A302" i="2"/>
  <c r="A306" i="2"/>
  <c r="A310" i="2"/>
  <c r="A314" i="2"/>
  <c r="A318" i="2"/>
  <c r="A322" i="2"/>
  <c r="A326" i="2"/>
  <c r="A330" i="2"/>
  <c r="A334" i="2"/>
  <c r="A338" i="2"/>
  <c r="A342" i="2"/>
  <c r="A346" i="2"/>
  <c r="A350" i="2"/>
  <c r="A354" i="2"/>
  <c r="A358" i="2"/>
  <c r="A362" i="2"/>
  <c r="A366" i="2"/>
  <c r="A370" i="2"/>
  <c r="A374" i="2"/>
  <c r="A378" i="2"/>
  <c r="A382" i="2"/>
  <c r="A386" i="2"/>
  <c r="A390" i="2"/>
  <c r="A394" i="2"/>
  <c r="A398" i="2"/>
  <c r="A402" i="2"/>
  <c r="A406" i="2"/>
  <c r="A410" i="2"/>
  <c r="A414" i="2"/>
  <c r="A418" i="2"/>
  <c r="A422" i="2"/>
  <c r="A426" i="2"/>
  <c r="A430" i="2"/>
  <c r="A434" i="2"/>
  <c r="A438" i="2"/>
  <c r="A442" i="2"/>
  <c r="A446" i="2"/>
  <c r="A450" i="2"/>
  <c r="A454" i="2"/>
  <c r="A458" i="2"/>
  <c r="A462" i="2"/>
  <c r="A466" i="2"/>
  <c r="A470" i="2"/>
  <c r="A474" i="2"/>
  <c r="A478" i="2"/>
  <c r="A482" i="2"/>
  <c r="A486" i="2"/>
  <c r="A490" i="2"/>
  <c r="A494" i="2"/>
  <c r="G7" i="2"/>
  <c r="G15" i="2"/>
  <c r="G23" i="2"/>
  <c r="G31" i="2"/>
  <c r="G39" i="2"/>
  <c r="G47" i="2"/>
  <c r="G55" i="2"/>
  <c r="G63" i="2"/>
  <c r="G71" i="2"/>
  <c r="G79" i="2"/>
  <c r="G87" i="2"/>
  <c r="G95" i="2"/>
  <c r="G103" i="2"/>
  <c r="G111" i="2"/>
  <c r="G119" i="2"/>
  <c r="G127" i="2"/>
  <c r="G135" i="2"/>
  <c r="G143" i="2"/>
  <c r="G151" i="2"/>
  <c r="G159" i="2"/>
  <c r="G167" i="2"/>
  <c r="G175" i="2"/>
  <c r="G183" i="2"/>
  <c r="G191" i="2"/>
  <c r="G199" i="2"/>
  <c r="G207" i="2"/>
  <c r="G215" i="2"/>
  <c r="G223" i="2"/>
  <c r="G231" i="2"/>
  <c r="G239" i="2"/>
  <c r="G247" i="2"/>
  <c r="G255" i="2"/>
  <c r="G263" i="2"/>
  <c r="G271" i="2"/>
  <c r="G279" i="2"/>
  <c r="G287" i="2"/>
  <c r="G295" i="2"/>
  <c r="G303" i="2"/>
  <c r="G311" i="2"/>
  <c r="G319" i="2"/>
  <c r="G327" i="2"/>
  <c r="G335" i="2"/>
  <c r="G343" i="2"/>
  <c r="G351" i="2"/>
  <c r="G359" i="2"/>
  <c r="G367" i="2"/>
  <c r="G375" i="2"/>
  <c r="G383" i="2"/>
  <c r="G391" i="2"/>
  <c r="G399" i="2"/>
  <c r="G407" i="2"/>
  <c r="G415" i="2"/>
  <c r="G423" i="2"/>
  <c r="G431" i="2"/>
  <c r="G439" i="2"/>
  <c r="G447" i="2"/>
  <c r="G455" i="2"/>
  <c r="G463" i="2"/>
  <c r="G471" i="2"/>
  <c r="G479" i="2"/>
  <c r="G487" i="2"/>
  <c r="G495" i="2"/>
  <c r="G503" i="2"/>
  <c r="G511" i="2"/>
  <c r="G519" i="2"/>
  <c r="G527" i="2"/>
  <c r="G535" i="2"/>
  <c r="G543" i="2"/>
  <c r="G551" i="2"/>
  <c r="G559" i="2"/>
  <c r="G567" i="2"/>
  <c r="G575" i="2"/>
  <c r="G583" i="2"/>
  <c r="G591" i="2"/>
  <c r="G599" i="2"/>
  <c r="G607" i="2"/>
  <c r="G615" i="2"/>
  <c r="G623" i="2"/>
  <c r="G631" i="2"/>
  <c r="G639" i="2"/>
  <c r="G647" i="2"/>
  <c r="G655" i="2"/>
  <c r="G663" i="2"/>
  <c r="G671" i="2"/>
  <c r="G679" i="2"/>
  <c r="G687" i="2"/>
  <c r="G695" i="2"/>
  <c r="G703" i="2"/>
  <c r="G711" i="2"/>
  <c r="G719" i="2"/>
  <c r="G727" i="2"/>
  <c r="G735" i="2"/>
  <c r="G743" i="2"/>
  <c r="G751" i="2"/>
  <c r="G759" i="2"/>
  <c r="G767" i="2"/>
  <c r="G775" i="2"/>
  <c r="G783" i="2"/>
  <c r="G791" i="2"/>
  <c r="G799" i="2"/>
  <c r="G807" i="2"/>
  <c r="G815" i="2"/>
  <c r="G823" i="2"/>
  <c r="G831" i="2"/>
  <c r="G839" i="2"/>
  <c r="G847" i="2"/>
  <c r="G855" i="2"/>
  <c r="G863" i="2"/>
  <c r="G871" i="2"/>
  <c r="G879" i="2"/>
  <c r="G887" i="2"/>
  <c r="G895" i="2"/>
  <c r="G903" i="2"/>
  <c r="G911" i="2"/>
  <c r="G919" i="2"/>
  <c r="G927" i="2"/>
  <c r="G935" i="2"/>
  <c r="G943" i="2"/>
  <c r="G951" i="2"/>
  <c r="G959" i="2"/>
  <c r="G967" i="2"/>
  <c r="G975" i="2"/>
  <c r="G983" i="2"/>
  <c r="G991" i="2"/>
  <c r="G999" i="2"/>
  <c r="G1007" i="2"/>
  <c r="G1015" i="2"/>
  <c r="G1023" i="2"/>
  <c r="G1031" i="2"/>
  <c r="G1039" i="2"/>
  <c r="G1047" i="2"/>
  <c r="G1055" i="2"/>
  <c r="G1063" i="2"/>
  <c r="G1071" i="2"/>
  <c r="G1079" i="2"/>
  <c r="G1087" i="2"/>
  <c r="G1095" i="2"/>
  <c r="G1103" i="2"/>
  <c r="G1111" i="2"/>
  <c r="G1119" i="2"/>
  <c r="G1127" i="2"/>
  <c r="G1135" i="2"/>
  <c r="G1143" i="2"/>
  <c r="G1151" i="2"/>
  <c r="G1159" i="2"/>
  <c r="G1167" i="2"/>
  <c r="G1175" i="2"/>
  <c r="G1183" i="2"/>
  <c r="G1191" i="2"/>
  <c r="G1199" i="2"/>
  <c r="G1207" i="2"/>
  <c r="G1215" i="2"/>
  <c r="G1223" i="2"/>
  <c r="G1231" i="2"/>
  <c r="G1239" i="2"/>
  <c r="G1247" i="2"/>
  <c r="G1255" i="2"/>
  <c r="G1263" i="2"/>
  <c r="G1271" i="2"/>
  <c r="G1279" i="2"/>
  <c r="G1287" i="2"/>
  <c r="G1295" i="2"/>
  <c r="G1305" i="2"/>
  <c r="G1315" i="2"/>
  <c r="G1326" i="2"/>
  <c r="G1337" i="2"/>
  <c r="G1347" i="2"/>
  <c r="G1358" i="2"/>
  <c r="G1369" i="2"/>
  <c r="G1379" i="2"/>
  <c r="G1390" i="2"/>
  <c r="G1401" i="2"/>
  <c r="G1411" i="2"/>
  <c r="G1422" i="2"/>
  <c r="G1433" i="2"/>
  <c r="G1443" i="2"/>
  <c r="G1454" i="2"/>
  <c r="G1465" i="2"/>
  <c r="G1475" i="2"/>
  <c r="G1486" i="2"/>
  <c r="G1497" i="2"/>
  <c r="G1507" i="2"/>
  <c r="G1518" i="2"/>
  <c r="G1529" i="2"/>
  <c r="G1539" i="2"/>
  <c r="G1550" i="2"/>
  <c r="G1561" i="2"/>
  <c r="G1571" i="2"/>
  <c r="G1582" i="2"/>
  <c r="G1593" i="2"/>
  <c r="G1603" i="2"/>
  <c r="G1614" i="2"/>
  <c r="G1625" i="2"/>
  <c r="G1635" i="2"/>
  <c r="G1646" i="2"/>
  <c r="G1657" i="2"/>
  <c r="G1667" i="2"/>
  <c r="G1678" i="2"/>
  <c r="G1689" i="2"/>
  <c r="G1699" i="2"/>
  <c r="G1710" i="2"/>
  <c r="G1721" i="2"/>
  <c r="G1731" i="2"/>
  <c r="G1742" i="2"/>
  <c r="G1753" i="2"/>
  <c r="G1763" i="2"/>
  <c r="G1774" i="2"/>
  <c r="G1785" i="2"/>
  <c r="G1795" i="2"/>
  <c r="G1806" i="2"/>
  <c r="G1817" i="2"/>
  <c r="G1827" i="2"/>
  <c r="G1838" i="2"/>
  <c r="G1849" i="2"/>
  <c r="G1859" i="2"/>
  <c r="G1870" i="2"/>
  <c r="G1881" i="2"/>
  <c r="G1891" i="2"/>
  <c r="G1902" i="2"/>
  <c r="G1913" i="2"/>
  <c r="G1923" i="2"/>
  <c r="G1934" i="2"/>
  <c r="G1945" i="2"/>
  <c r="G1955" i="2"/>
  <c r="G1966" i="2"/>
  <c r="G1977" i="2"/>
  <c r="G1987" i="2"/>
  <c r="G1998" i="2"/>
  <c r="G2009" i="2"/>
  <c r="G2019" i="2"/>
  <c r="G2030" i="2"/>
  <c r="G2041" i="2"/>
  <c r="G2051" i="2"/>
  <c r="G2062" i="2"/>
  <c r="G2073" i="2"/>
  <c r="G2083" i="2"/>
  <c r="G2094" i="2"/>
  <c r="G2105" i="2"/>
  <c r="G2115" i="2"/>
  <c r="G2126" i="2"/>
  <c r="G2137" i="2"/>
  <c r="G2147" i="2"/>
  <c r="G2158" i="2"/>
  <c r="G2169" i="2"/>
  <c r="G2179" i="2"/>
  <c r="G2190" i="2"/>
  <c r="G2201" i="2"/>
  <c r="G2211" i="2"/>
  <c r="G2222" i="2"/>
  <c r="G2233" i="2"/>
  <c r="G2243" i="2"/>
  <c r="G2254" i="2"/>
  <c r="G2265" i="2"/>
  <c r="G2275" i="2"/>
  <c r="G2286" i="2"/>
  <c r="G2297" i="2"/>
  <c r="G2307" i="2"/>
  <c r="G2318" i="2"/>
  <c r="G2329" i="2"/>
  <c r="G2339" i="2"/>
  <c r="G2350" i="2"/>
  <c r="G2361" i="2"/>
  <c r="G2371" i="2"/>
  <c r="G2382" i="2"/>
  <c r="G2393" i="2"/>
  <c r="G2403" i="2"/>
  <c r="G2414" i="2"/>
  <c r="G2425" i="2"/>
  <c r="G2435" i="2"/>
  <c r="G2446" i="2"/>
  <c r="G2457" i="2"/>
  <c r="G2467" i="2"/>
  <c r="G2478" i="2"/>
  <c r="G2489" i="2"/>
  <c r="G2499" i="2"/>
  <c r="G2510" i="2"/>
  <c r="G2521" i="2"/>
  <c r="G2531" i="2"/>
  <c r="G2542" i="2"/>
  <c r="G2556" i="2"/>
  <c r="G2552" i="2"/>
  <c r="G2548" i="2"/>
  <c r="G2544" i="2"/>
  <c r="G2540" i="2"/>
  <c r="G2536" i="2"/>
  <c r="G2532" i="2"/>
  <c r="G2528" i="2"/>
  <c r="G2524" i="2"/>
  <c r="G2520" i="2"/>
  <c r="G2516" i="2"/>
  <c r="G2512" i="2"/>
  <c r="G2508" i="2"/>
  <c r="G2504" i="2"/>
  <c r="G2500" i="2"/>
  <c r="G2496" i="2"/>
  <c r="G2492" i="2"/>
  <c r="G2488" i="2"/>
  <c r="G2484" i="2"/>
  <c r="G2480" i="2"/>
  <c r="G2476" i="2"/>
  <c r="G2472" i="2"/>
  <c r="G2468" i="2"/>
  <c r="G2464" i="2"/>
  <c r="G2460" i="2"/>
  <c r="G2456" i="2"/>
  <c r="G2452" i="2"/>
  <c r="G2448" i="2"/>
  <c r="G2444" i="2"/>
  <c r="G2440" i="2"/>
  <c r="G2436" i="2"/>
  <c r="G2432" i="2"/>
  <c r="G2428" i="2"/>
  <c r="G2424" i="2"/>
  <c r="G2420" i="2"/>
  <c r="G2416" i="2"/>
  <c r="G2412" i="2"/>
  <c r="G2408" i="2"/>
  <c r="G2404"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6" i="2"/>
  <c r="G1632" i="2"/>
  <c r="G1628" i="2"/>
  <c r="G1624" i="2"/>
  <c r="G1620" i="2"/>
  <c r="G1616" i="2"/>
  <c r="G1612" i="2"/>
  <c r="G1608" i="2"/>
  <c r="G1604" i="2"/>
  <c r="G1600" i="2"/>
  <c r="G1596" i="2"/>
  <c r="G1592" i="2"/>
  <c r="G1588" i="2"/>
  <c r="G1584" i="2"/>
  <c r="G1580" i="2"/>
  <c r="G1576" i="2"/>
  <c r="G1572" i="2"/>
  <c r="G1568"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2" i="2"/>
  <c r="G1368" i="2"/>
  <c r="G1364" i="2"/>
  <c r="G1360" i="2"/>
  <c r="G1356" i="2"/>
  <c r="G1352" i="2"/>
  <c r="G1348" i="2"/>
  <c r="G1344" i="2"/>
  <c r="G1340" i="2"/>
  <c r="G1336" i="2"/>
  <c r="G1332" i="2"/>
  <c r="G1328" i="2"/>
  <c r="G1324" i="2"/>
  <c r="G1320" i="2"/>
  <c r="G1316" i="2"/>
  <c r="G1312" i="2"/>
  <c r="G1308" i="2"/>
  <c r="G1304" i="2"/>
  <c r="G1300" i="2"/>
  <c r="G2555" i="2"/>
  <c r="G2550" i="2"/>
  <c r="G2545" i="2"/>
  <c r="G2539" i="2"/>
  <c r="G2534" i="2"/>
  <c r="G2529" i="2"/>
  <c r="G2523" i="2"/>
  <c r="G2518" i="2"/>
  <c r="G2513" i="2"/>
  <c r="G2507" i="2"/>
  <c r="G2502" i="2"/>
  <c r="G2497" i="2"/>
  <c r="G2491" i="2"/>
  <c r="G2486" i="2"/>
  <c r="G2481" i="2"/>
  <c r="G2475" i="2"/>
  <c r="G2470" i="2"/>
  <c r="G2465" i="2"/>
  <c r="G2459" i="2"/>
  <c r="G2454" i="2"/>
  <c r="G2449" i="2"/>
  <c r="G2443" i="2"/>
  <c r="G2438" i="2"/>
  <c r="G2433" i="2"/>
  <c r="G2427" i="2"/>
  <c r="G2422" i="2"/>
  <c r="G2417" i="2"/>
  <c r="G2411" i="2"/>
  <c r="G2406" i="2"/>
  <c r="G2401" i="2"/>
  <c r="G2395" i="2"/>
  <c r="G2390" i="2"/>
  <c r="G2385" i="2"/>
  <c r="G2379" i="2"/>
  <c r="G2374" i="2"/>
  <c r="G2369" i="2"/>
  <c r="G2363" i="2"/>
  <c r="G2358" i="2"/>
  <c r="G2353" i="2"/>
  <c r="G2347" i="2"/>
  <c r="G2342" i="2"/>
  <c r="G2337" i="2"/>
  <c r="G2331" i="2"/>
  <c r="G2326" i="2"/>
  <c r="G2321" i="2"/>
  <c r="G2315" i="2"/>
  <c r="G2310" i="2"/>
  <c r="G2305" i="2"/>
  <c r="G2299" i="2"/>
  <c r="G2294" i="2"/>
  <c r="G2289" i="2"/>
  <c r="G2283" i="2"/>
  <c r="G2278" i="2"/>
  <c r="G2273" i="2"/>
  <c r="G2267" i="2"/>
  <c r="G2262" i="2"/>
  <c r="G2257" i="2"/>
  <c r="G2251" i="2"/>
  <c r="G2246" i="2"/>
  <c r="G2241" i="2"/>
  <c r="G2235" i="2"/>
  <c r="G2230" i="2"/>
  <c r="G2225" i="2"/>
  <c r="G2219" i="2"/>
  <c r="G2214" i="2"/>
  <c r="G2209" i="2"/>
  <c r="G2203" i="2"/>
  <c r="G2198" i="2"/>
  <c r="G2193" i="2"/>
  <c r="G2187" i="2"/>
  <c r="G2182" i="2"/>
  <c r="G2177" i="2"/>
  <c r="G2171" i="2"/>
  <c r="G2166" i="2"/>
  <c r="G2161" i="2"/>
  <c r="G2155" i="2"/>
  <c r="G2150" i="2"/>
  <c r="G2145" i="2"/>
  <c r="G2139" i="2"/>
  <c r="G2134" i="2"/>
  <c r="G2129" i="2"/>
  <c r="G2123" i="2"/>
  <c r="G2118" i="2"/>
  <c r="G2113" i="2"/>
  <c r="G2107" i="2"/>
  <c r="G2102" i="2"/>
  <c r="G2097" i="2"/>
  <c r="G2091" i="2"/>
  <c r="G2086" i="2"/>
  <c r="G2081" i="2"/>
  <c r="G2075" i="2"/>
  <c r="G2070" i="2"/>
  <c r="G2065" i="2"/>
  <c r="G2059" i="2"/>
  <c r="G2054" i="2"/>
  <c r="G2049" i="2"/>
  <c r="G2043" i="2"/>
  <c r="G2038" i="2"/>
  <c r="G2033" i="2"/>
  <c r="G2027" i="2"/>
  <c r="G2022" i="2"/>
  <c r="G2017" i="2"/>
  <c r="G2011" i="2"/>
  <c r="G2006" i="2"/>
  <c r="G2001" i="2"/>
  <c r="G1995" i="2"/>
  <c r="G1990" i="2"/>
  <c r="G1985" i="2"/>
  <c r="G1979" i="2"/>
  <c r="G1974" i="2"/>
  <c r="G1969" i="2"/>
  <c r="G1963" i="2"/>
  <c r="G1958" i="2"/>
  <c r="G1953" i="2"/>
  <c r="G1947" i="2"/>
  <c r="G1942" i="2"/>
  <c r="G1937" i="2"/>
  <c r="G1931" i="2"/>
  <c r="G1926" i="2"/>
  <c r="G1921" i="2"/>
  <c r="G1915" i="2"/>
  <c r="G1910" i="2"/>
  <c r="G1905" i="2"/>
  <c r="G1899" i="2"/>
  <c r="G1894" i="2"/>
  <c r="G1889" i="2"/>
  <c r="G1883" i="2"/>
  <c r="G1878" i="2"/>
  <c r="G1873" i="2"/>
  <c r="G1867" i="2"/>
  <c r="G1862" i="2"/>
  <c r="G1857" i="2"/>
  <c r="G1851" i="2"/>
  <c r="G1846" i="2"/>
  <c r="G1841" i="2"/>
  <c r="G1835" i="2"/>
  <c r="G1830" i="2"/>
  <c r="G1825" i="2"/>
  <c r="G1819" i="2"/>
  <c r="G1814" i="2"/>
  <c r="G1809" i="2"/>
  <c r="G1803" i="2"/>
  <c r="G1798" i="2"/>
  <c r="G1793" i="2"/>
  <c r="G1787" i="2"/>
  <c r="G1782" i="2"/>
  <c r="G1777" i="2"/>
  <c r="G1771" i="2"/>
  <c r="G1766" i="2"/>
  <c r="G1761" i="2"/>
  <c r="G1755" i="2"/>
  <c r="G1750" i="2"/>
  <c r="G1745" i="2"/>
  <c r="G1739" i="2"/>
  <c r="G1734" i="2"/>
  <c r="G1729" i="2"/>
  <c r="G1723" i="2"/>
  <c r="G1718" i="2"/>
  <c r="G1713" i="2"/>
  <c r="G1707" i="2"/>
  <c r="G1702" i="2"/>
  <c r="G1697" i="2"/>
  <c r="G1691" i="2"/>
  <c r="G1686" i="2"/>
  <c r="G1681" i="2"/>
  <c r="G1675" i="2"/>
  <c r="G1670" i="2"/>
  <c r="G1665" i="2"/>
  <c r="G1659" i="2"/>
  <c r="G1654" i="2"/>
  <c r="G1649" i="2"/>
  <c r="G1643" i="2"/>
  <c r="G1638" i="2"/>
  <c r="G1633" i="2"/>
  <c r="G1627" i="2"/>
  <c r="G1622" i="2"/>
  <c r="G1617" i="2"/>
  <c r="G1611" i="2"/>
  <c r="G1606" i="2"/>
  <c r="G1601" i="2"/>
  <c r="G1595" i="2"/>
  <c r="G1590" i="2"/>
  <c r="G1585" i="2"/>
  <c r="G1579" i="2"/>
  <c r="G1574" i="2"/>
  <c r="G1569" i="2"/>
  <c r="G1563" i="2"/>
  <c r="G1558" i="2"/>
  <c r="G1553" i="2"/>
  <c r="G1547" i="2"/>
  <c r="G1542" i="2"/>
  <c r="G1537" i="2"/>
  <c r="G1531" i="2"/>
  <c r="G1526" i="2"/>
  <c r="G1521" i="2"/>
  <c r="G1515" i="2"/>
  <c r="G1510" i="2"/>
  <c r="G1505" i="2"/>
  <c r="G1499" i="2"/>
  <c r="G1494" i="2"/>
  <c r="G1489" i="2"/>
  <c r="G1483" i="2"/>
  <c r="G1478" i="2"/>
  <c r="G1473" i="2"/>
  <c r="G1467" i="2"/>
  <c r="G1462" i="2"/>
  <c r="G1457" i="2"/>
  <c r="G1451" i="2"/>
  <c r="G1446" i="2"/>
  <c r="G1441" i="2"/>
  <c r="G1435" i="2"/>
  <c r="G1430" i="2"/>
  <c r="G1425" i="2"/>
  <c r="G1419" i="2"/>
  <c r="G1414" i="2"/>
  <c r="G1409" i="2"/>
  <c r="G1403" i="2"/>
  <c r="G1398" i="2"/>
  <c r="G1393" i="2"/>
  <c r="G1387" i="2"/>
  <c r="G1382" i="2"/>
  <c r="G1377" i="2"/>
  <c r="G1371" i="2"/>
  <c r="G1366" i="2"/>
  <c r="G1361" i="2"/>
  <c r="G1355" i="2"/>
  <c r="G1350" i="2"/>
  <c r="G1345" i="2"/>
  <c r="G1339" i="2"/>
  <c r="G1334" i="2"/>
  <c r="G1329" i="2"/>
  <c r="G1323" i="2"/>
  <c r="G1318" i="2"/>
  <c r="G1313" i="2"/>
  <c r="G1307" i="2"/>
  <c r="G1302"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89" i="2"/>
  <c r="G1185" i="2"/>
  <c r="G1181" i="2"/>
  <c r="G1177" i="2"/>
  <c r="G1173" i="2"/>
  <c r="G1169" i="2"/>
  <c r="G1165" i="2"/>
  <c r="G1161" i="2"/>
  <c r="G1157" i="2"/>
  <c r="G1153" i="2"/>
  <c r="G1149" i="2"/>
  <c r="G1145" i="2"/>
  <c r="G1141" i="2"/>
  <c r="G1137" i="2"/>
  <c r="G1133" i="2"/>
  <c r="G1129" i="2"/>
  <c r="G1125" i="2"/>
  <c r="G1121" i="2"/>
  <c r="G1117" i="2"/>
  <c r="G1113" i="2"/>
  <c r="G1109" i="2"/>
  <c r="G1105" i="2"/>
  <c r="G1101" i="2"/>
  <c r="G1097" i="2"/>
  <c r="G1093" i="2"/>
  <c r="G1089" i="2"/>
  <c r="G1085" i="2"/>
  <c r="G1081" i="2"/>
  <c r="G1077" i="2"/>
  <c r="G1073" i="2"/>
  <c r="G1069" i="2"/>
  <c r="G1065" i="2"/>
  <c r="G1061" i="2"/>
  <c r="G1057" i="2"/>
  <c r="G1053" i="2"/>
  <c r="G1049" i="2"/>
  <c r="G1045" i="2"/>
  <c r="G1041" i="2"/>
  <c r="G1037" i="2"/>
  <c r="G1033" i="2"/>
  <c r="G1029" i="2"/>
  <c r="G1025" i="2"/>
  <c r="G1021"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1" i="2"/>
  <c r="G517" i="2"/>
  <c r="G513" i="2"/>
  <c r="G509" i="2"/>
  <c r="G505" i="2"/>
  <c r="G501" i="2"/>
  <c r="G497" i="2"/>
  <c r="G493" i="2"/>
  <c r="G489" i="2"/>
  <c r="G485" i="2"/>
  <c r="G481" i="2"/>
  <c r="G477" i="2"/>
  <c r="G473" i="2"/>
  <c r="G469" i="2"/>
  <c r="G465" i="2"/>
  <c r="G461" i="2"/>
  <c r="G457" i="2"/>
  <c r="G453" i="2"/>
  <c r="G449" i="2"/>
  <c r="G445" i="2"/>
  <c r="G441" i="2"/>
  <c r="G437" i="2"/>
  <c r="G433" i="2"/>
  <c r="G429" i="2"/>
  <c r="G425" i="2"/>
  <c r="G421" i="2"/>
  <c r="G417" i="2"/>
  <c r="G413" i="2"/>
  <c r="G409" i="2"/>
  <c r="G405" i="2"/>
  <c r="G401" i="2"/>
  <c r="G397" i="2"/>
  <c r="G393" i="2"/>
  <c r="G389" i="2"/>
  <c r="G385" i="2"/>
  <c r="G381" i="2"/>
  <c r="G377" i="2"/>
  <c r="G373" i="2"/>
  <c r="G369" i="2"/>
  <c r="G365" i="2"/>
  <c r="G361" i="2"/>
  <c r="G357" i="2"/>
  <c r="G353" i="2"/>
  <c r="G349" i="2"/>
  <c r="G345" i="2"/>
  <c r="G341" i="2"/>
  <c r="G337" i="2"/>
  <c r="G333" i="2"/>
  <c r="G329" i="2"/>
  <c r="G325" i="2"/>
  <c r="G321" i="2"/>
  <c r="G317" i="2"/>
  <c r="G313" i="2"/>
  <c r="G309" i="2"/>
  <c r="G305" i="2"/>
  <c r="G301" i="2"/>
  <c r="G297" i="2"/>
  <c r="G293" i="2"/>
  <c r="G289"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3" i="2"/>
  <c r="G129" i="2"/>
  <c r="G125" i="2"/>
  <c r="G121" i="2"/>
  <c r="G117" i="2"/>
  <c r="G113" i="2"/>
  <c r="G109" i="2"/>
  <c r="G105" i="2"/>
  <c r="G101" i="2"/>
  <c r="G97" i="2"/>
  <c r="G93" i="2"/>
  <c r="G89" i="2"/>
  <c r="G85" i="2"/>
  <c r="G81" i="2"/>
  <c r="G77" i="2"/>
  <c r="G73" i="2"/>
  <c r="G69" i="2"/>
  <c r="G65" i="2"/>
  <c r="G61" i="2"/>
  <c r="G57" i="2"/>
  <c r="G53" i="2"/>
  <c r="G49" i="2"/>
  <c r="G45" i="2"/>
  <c r="G41" i="2"/>
  <c r="G37" i="2"/>
  <c r="G33" i="2"/>
  <c r="G29" i="2"/>
  <c r="G25" i="2"/>
  <c r="G21" i="2"/>
  <c r="G17" i="2"/>
  <c r="G13" i="2"/>
  <c r="G9" i="2"/>
  <c r="G5" i="2"/>
  <c r="G2" i="2"/>
  <c r="G2559" i="2"/>
  <c r="G2554" i="2"/>
  <c r="G2549" i="2"/>
  <c r="G2543" i="2"/>
  <c r="G2538" i="2"/>
  <c r="G2533" i="2"/>
  <c r="G2527" i="2"/>
  <c r="G2522" i="2"/>
  <c r="G2517" i="2"/>
  <c r="G2511" i="2"/>
  <c r="G2506" i="2"/>
  <c r="G2501" i="2"/>
  <c r="G2495" i="2"/>
  <c r="G2490" i="2"/>
  <c r="G2485" i="2"/>
  <c r="G2479" i="2"/>
  <c r="G2474" i="2"/>
  <c r="G2469" i="2"/>
  <c r="G2463" i="2"/>
  <c r="G2458" i="2"/>
  <c r="G2453" i="2"/>
  <c r="G2447" i="2"/>
  <c r="G2442" i="2"/>
  <c r="G2437" i="2"/>
  <c r="G2431" i="2"/>
  <c r="G2426" i="2"/>
  <c r="G2421" i="2"/>
  <c r="G2415" i="2"/>
  <c r="G2410" i="2"/>
  <c r="G2405" i="2"/>
  <c r="G2399" i="2"/>
  <c r="G2394" i="2"/>
  <c r="G2389" i="2"/>
  <c r="G2383" i="2"/>
  <c r="G2378" i="2"/>
  <c r="G2373" i="2"/>
  <c r="G2367" i="2"/>
  <c r="G2362" i="2"/>
  <c r="G2357" i="2"/>
  <c r="G2351" i="2"/>
  <c r="G2346" i="2"/>
  <c r="G2341" i="2"/>
  <c r="G2335" i="2"/>
  <c r="G2330" i="2"/>
  <c r="G2325" i="2"/>
  <c r="G2319" i="2"/>
  <c r="G2314" i="2"/>
  <c r="G2309" i="2"/>
  <c r="G2303" i="2"/>
  <c r="G2298" i="2"/>
  <c r="G2293" i="2"/>
  <c r="G2287" i="2"/>
  <c r="G2282" i="2"/>
  <c r="G2277" i="2"/>
  <c r="G2271" i="2"/>
  <c r="G2266" i="2"/>
  <c r="G2261" i="2"/>
  <c r="G2255" i="2"/>
  <c r="G2250" i="2"/>
  <c r="G2245" i="2"/>
  <c r="G2239" i="2"/>
  <c r="G2234" i="2"/>
  <c r="G2229" i="2"/>
  <c r="G2223" i="2"/>
  <c r="G2218" i="2"/>
  <c r="G2213" i="2"/>
  <c r="G2207" i="2"/>
  <c r="G2202" i="2"/>
  <c r="G2197" i="2"/>
  <c r="G2191" i="2"/>
  <c r="G2186" i="2"/>
  <c r="G2181" i="2"/>
  <c r="G2175" i="2"/>
  <c r="G2170" i="2"/>
  <c r="G2165" i="2"/>
  <c r="G2159" i="2"/>
  <c r="G2154" i="2"/>
  <c r="G2149" i="2"/>
  <c r="G2143" i="2"/>
  <c r="G2138" i="2"/>
  <c r="G2133" i="2"/>
  <c r="G2127" i="2"/>
  <c r="G2122" i="2"/>
  <c r="G2117" i="2"/>
  <c r="G2111" i="2"/>
  <c r="G2106" i="2"/>
  <c r="G2101" i="2"/>
  <c r="G2095" i="2"/>
  <c r="G2090" i="2"/>
  <c r="G2085" i="2"/>
  <c r="G2079" i="2"/>
  <c r="G2074" i="2"/>
  <c r="G2069" i="2"/>
  <c r="G2063" i="2"/>
  <c r="G2058" i="2"/>
  <c r="G2053" i="2"/>
  <c r="G2047" i="2"/>
  <c r="G2042" i="2"/>
  <c r="G2037" i="2"/>
  <c r="G2031" i="2"/>
  <c r="G2026" i="2"/>
  <c r="G2021" i="2"/>
  <c r="G2015" i="2"/>
  <c r="G2010" i="2"/>
  <c r="G2005" i="2"/>
  <c r="G1999" i="2"/>
  <c r="G1994" i="2"/>
  <c r="G1989" i="2"/>
  <c r="G1983" i="2"/>
  <c r="G1978" i="2"/>
  <c r="G1973" i="2"/>
  <c r="G1967" i="2"/>
  <c r="G1962" i="2"/>
  <c r="G1957" i="2"/>
  <c r="G1951" i="2"/>
  <c r="G1946" i="2"/>
  <c r="G1941" i="2"/>
  <c r="G1935" i="2"/>
  <c r="G1930" i="2"/>
  <c r="G1925" i="2"/>
  <c r="G1919" i="2"/>
  <c r="G1914" i="2"/>
  <c r="G1909" i="2"/>
  <c r="G1903" i="2"/>
  <c r="G1898" i="2"/>
  <c r="G1893" i="2"/>
  <c r="G1887" i="2"/>
  <c r="G1882" i="2"/>
  <c r="G1877" i="2"/>
  <c r="G1871" i="2"/>
  <c r="G1866" i="2"/>
  <c r="G1861" i="2"/>
  <c r="G1855" i="2"/>
  <c r="G1850" i="2"/>
  <c r="G1845" i="2"/>
  <c r="G1839" i="2"/>
  <c r="G1834" i="2"/>
  <c r="G1829" i="2"/>
  <c r="G1823" i="2"/>
  <c r="G1818" i="2"/>
  <c r="G1813" i="2"/>
  <c r="G1807" i="2"/>
  <c r="G1802" i="2"/>
  <c r="G1797" i="2"/>
  <c r="G1791" i="2"/>
  <c r="G1786" i="2"/>
  <c r="G1781" i="2"/>
  <c r="G1775" i="2"/>
  <c r="G1770" i="2"/>
  <c r="G1765" i="2"/>
  <c r="G1759" i="2"/>
  <c r="G1754" i="2"/>
  <c r="G1749" i="2"/>
  <c r="G1743" i="2"/>
  <c r="G1738" i="2"/>
  <c r="G1733" i="2"/>
  <c r="G1727" i="2"/>
  <c r="G1722" i="2"/>
  <c r="G1717" i="2"/>
  <c r="G1711" i="2"/>
  <c r="G1706" i="2"/>
  <c r="G1701" i="2"/>
  <c r="G1695" i="2"/>
  <c r="G1690" i="2"/>
  <c r="G1685" i="2"/>
  <c r="G1679" i="2"/>
  <c r="G1674" i="2"/>
  <c r="G1669" i="2"/>
  <c r="G1663" i="2"/>
  <c r="G1658" i="2"/>
  <c r="G1653" i="2"/>
  <c r="G1647" i="2"/>
  <c r="G1642" i="2"/>
  <c r="G1637" i="2"/>
  <c r="G1631" i="2"/>
  <c r="G1626" i="2"/>
  <c r="G1621" i="2"/>
  <c r="G1615" i="2"/>
  <c r="G1610" i="2"/>
  <c r="G1605" i="2"/>
  <c r="G1599" i="2"/>
  <c r="G1594" i="2"/>
  <c r="G1589" i="2"/>
  <c r="G1583" i="2"/>
  <c r="G1578" i="2"/>
  <c r="G1573" i="2"/>
  <c r="G1567" i="2"/>
  <c r="G1562" i="2"/>
  <c r="G1557" i="2"/>
  <c r="G1551" i="2"/>
  <c r="G1546" i="2"/>
  <c r="G1541" i="2"/>
  <c r="G1535" i="2"/>
  <c r="G1530" i="2"/>
  <c r="G1525" i="2"/>
  <c r="G1519" i="2"/>
  <c r="G1514" i="2"/>
  <c r="G1509" i="2"/>
  <c r="G1503" i="2"/>
  <c r="G1498" i="2"/>
  <c r="G1493" i="2"/>
  <c r="G1487" i="2"/>
  <c r="G1482" i="2"/>
  <c r="G1477" i="2"/>
  <c r="G1471" i="2"/>
  <c r="G1466" i="2"/>
  <c r="G1461" i="2"/>
  <c r="G1455" i="2"/>
  <c r="G1450" i="2"/>
  <c r="G1445" i="2"/>
  <c r="G1439" i="2"/>
  <c r="G1434" i="2"/>
  <c r="G1429" i="2"/>
  <c r="G1423" i="2"/>
  <c r="G1418" i="2"/>
  <c r="G1413" i="2"/>
  <c r="G1407" i="2"/>
  <c r="G1402" i="2"/>
  <c r="G1397" i="2"/>
  <c r="G1391" i="2"/>
  <c r="G1386" i="2"/>
  <c r="G1381" i="2"/>
  <c r="G1375" i="2"/>
  <c r="G1370" i="2"/>
  <c r="G1365" i="2"/>
  <c r="G1359" i="2"/>
  <c r="G1354" i="2"/>
  <c r="G1349" i="2"/>
  <c r="G1343" i="2"/>
  <c r="G1338" i="2"/>
  <c r="G1333" i="2"/>
  <c r="G1327" i="2"/>
  <c r="G1322" i="2"/>
  <c r="G1317" i="2"/>
  <c r="G1311" i="2"/>
  <c r="G1306" i="2"/>
  <c r="G1301"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92" i="2"/>
  <c r="G1188" i="2"/>
  <c r="G1184" i="2"/>
  <c r="G1180" i="2"/>
  <c r="G1176" i="2"/>
  <c r="G1172" i="2"/>
  <c r="G1168" i="2"/>
  <c r="G1164" i="2"/>
  <c r="G1160" i="2"/>
  <c r="G1156" i="2"/>
  <c r="G1152" i="2"/>
  <c r="G1148" i="2"/>
  <c r="G1144" i="2"/>
  <c r="G1140" i="2"/>
  <c r="G1136" i="2"/>
  <c r="G1132" i="2"/>
  <c r="G1128" i="2"/>
  <c r="G1124" i="2"/>
  <c r="G1120" i="2"/>
  <c r="G1116" i="2"/>
  <c r="G1112" i="2"/>
  <c r="G1108" i="2"/>
  <c r="G1104" i="2"/>
  <c r="G1100" i="2"/>
  <c r="G1096" i="2"/>
  <c r="G1092" i="2"/>
  <c r="G1088" i="2"/>
  <c r="G1084" i="2"/>
  <c r="G1080" i="2"/>
  <c r="G1076" i="2"/>
  <c r="G1072" i="2"/>
  <c r="G1068" i="2"/>
  <c r="G1064" i="2"/>
  <c r="G1060" i="2"/>
  <c r="G1056" i="2"/>
  <c r="G1052" i="2"/>
  <c r="G1048" i="2"/>
  <c r="G1044" i="2"/>
  <c r="G1040" i="2"/>
  <c r="G1036" i="2"/>
  <c r="G1032" i="2"/>
  <c r="G1028" i="2"/>
  <c r="G1024"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2" i="2"/>
  <c r="G468" i="2"/>
  <c r="G464" i="2"/>
  <c r="G460" i="2"/>
  <c r="G456" i="2"/>
  <c r="G452" i="2"/>
  <c r="G448" i="2"/>
  <c r="G444" i="2"/>
  <c r="G440" i="2"/>
  <c r="G436" i="2"/>
  <c r="G432" i="2"/>
  <c r="G428" i="2"/>
  <c r="G424" i="2"/>
  <c r="G420" i="2"/>
  <c r="G416" i="2"/>
  <c r="G412" i="2"/>
  <c r="G408" i="2"/>
  <c r="G404" i="2"/>
  <c r="G400" i="2"/>
  <c r="G396" i="2"/>
  <c r="G392" i="2"/>
  <c r="G388" i="2"/>
  <c r="G384" i="2"/>
  <c r="G380" i="2"/>
  <c r="G376" i="2"/>
  <c r="G372" i="2"/>
  <c r="G368" i="2"/>
  <c r="G364" i="2"/>
  <c r="G360" i="2"/>
  <c r="G356" i="2"/>
  <c r="G352" i="2"/>
  <c r="G348" i="2"/>
  <c r="G344" i="2"/>
  <c r="G340" i="2"/>
  <c r="G336" i="2"/>
  <c r="G332" i="2"/>
  <c r="G328" i="2"/>
  <c r="G324" i="2"/>
  <c r="G320" i="2"/>
  <c r="G316" i="2"/>
  <c r="G312"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2" i="2"/>
  <c r="G128" i="2"/>
  <c r="G124" i="2"/>
  <c r="G120" i="2"/>
  <c r="G116" i="2"/>
  <c r="G112" i="2"/>
  <c r="G108" i="2"/>
  <c r="G104" i="2"/>
  <c r="G100" i="2"/>
  <c r="G96" i="2"/>
  <c r="G92" i="2"/>
  <c r="G88" i="2"/>
  <c r="G84" i="2"/>
  <c r="G80" i="2"/>
  <c r="G76" i="2"/>
  <c r="G72" i="2"/>
  <c r="G68" i="2"/>
  <c r="G64" i="2"/>
  <c r="G60" i="2"/>
  <c r="G56" i="2"/>
  <c r="G52" i="2"/>
  <c r="G48" i="2"/>
  <c r="G44" i="2"/>
  <c r="G40" i="2"/>
  <c r="G36" i="2"/>
  <c r="G32" i="2"/>
  <c r="G28" i="2"/>
  <c r="G24" i="2"/>
  <c r="G20" i="2"/>
  <c r="G16" i="2"/>
  <c r="G12" i="2"/>
  <c r="G8" i="2"/>
  <c r="G4" i="2"/>
  <c r="G10" i="2"/>
  <c r="G18" i="2"/>
  <c r="G26" i="2"/>
  <c r="G34" i="2"/>
  <c r="G42" i="2"/>
  <c r="G50" i="2"/>
  <c r="G58" i="2"/>
  <c r="G66" i="2"/>
  <c r="G74" i="2"/>
  <c r="G82" i="2"/>
  <c r="G90" i="2"/>
  <c r="G98" i="2"/>
  <c r="G106" i="2"/>
  <c r="G114" i="2"/>
  <c r="G122" i="2"/>
  <c r="G130" i="2"/>
  <c r="G138" i="2"/>
  <c r="G146" i="2"/>
  <c r="G154" i="2"/>
  <c r="G162" i="2"/>
  <c r="G170" i="2"/>
  <c r="G178" i="2"/>
  <c r="G186" i="2"/>
  <c r="G194" i="2"/>
  <c r="G202" i="2"/>
  <c r="G210" i="2"/>
  <c r="G218" i="2"/>
  <c r="G226" i="2"/>
  <c r="G234" i="2"/>
  <c r="G242" i="2"/>
  <c r="G250" i="2"/>
  <c r="G258" i="2"/>
  <c r="G266" i="2"/>
  <c r="G274" i="2"/>
  <c r="G282" i="2"/>
  <c r="G290" i="2"/>
  <c r="G298" i="2"/>
  <c r="G306" i="2"/>
  <c r="G314" i="2"/>
  <c r="G322" i="2"/>
  <c r="G330" i="2"/>
  <c r="G338" i="2"/>
  <c r="G346" i="2"/>
  <c r="G354" i="2"/>
  <c r="G362" i="2"/>
  <c r="G370" i="2"/>
  <c r="G378" i="2"/>
  <c r="G386" i="2"/>
  <c r="G394" i="2"/>
  <c r="G402" i="2"/>
  <c r="G410" i="2"/>
  <c r="G418" i="2"/>
  <c r="G426" i="2"/>
  <c r="G434" i="2"/>
  <c r="G442" i="2"/>
  <c r="G450" i="2"/>
  <c r="G458" i="2"/>
  <c r="G466" i="2"/>
  <c r="G474" i="2"/>
  <c r="G482" i="2"/>
  <c r="G490" i="2"/>
  <c r="G498" i="2"/>
  <c r="G506" i="2"/>
  <c r="G514" i="2"/>
  <c r="G522" i="2"/>
  <c r="G530" i="2"/>
  <c r="G538" i="2"/>
  <c r="G546" i="2"/>
  <c r="G554" i="2"/>
  <c r="G562" i="2"/>
  <c r="G570" i="2"/>
  <c r="G578" i="2"/>
  <c r="G586" i="2"/>
  <c r="G594" i="2"/>
  <c r="G602" i="2"/>
  <c r="G610" i="2"/>
  <c r="G618" i="2"/>
  <c r="G626" i="2"/>
  <c r="G634" i="2"/>
  <c r="G642" i="2"/>
  <c r="G650" i="2"/>
  <c r="G658" i="2"/>
  <c r="G666" i="2"/>
  <c r="G674" i="2"/>
  <c r="G682" i="2"/>
  <c r="G690" i="2"/>
  <c r="G698" i="2"/>
  <c r="G706" i="2"/>
  <c r="G714" i="2"/>
  <c r="G722" i="2"/>
  <c r="G730" i="2"/>
  <c r="G738" i="2"/>
  <c r="G746" i="2"/>
  <c r="G754" i="2"/>
  <c r="G762" i="2"/>
  <c r="G770" i="2"/>
  <c r="G778" i="2"/>
  <c r="G786" i="2"/>
  <c r="G794" i="2"/>
  <c r="G802" i="2"/>
  <c r="G810" i="2"/>
  <c r="G818" i="2"/>
  <c r="G826" i="2"/>
  <c r="G834" i="2"/>
  <c r="G842" i="2"/>
  <c r="G850" i="2"/>
  <c r="G858" i="2"/>
  <c r="G866" i="2"/>
  <c r="G874" i="2"/>
  <c r="G882" i="2"/>
  <c r="G890" i="2"/>
  <c r="G898" i="2"/>
  <c r="G906" i="2"/>
  <c r="G914" i="2"/>
  <c r="G922" i="2"/>
  <c r="G930" i="2"/>
  <c r="G938" i="2"/>
  <c r="G946" i="2"/>
  <c r="G954" i="2"/>
  <c r="G962" i="2"/>
  <c r="G970" i="2"/>
  <c r="G978" i="2"/>
  <c r="G986" i="2"/>
  <c r="G994" i="2"/>
  <c r="G1002" i="2"/>
  <c r="G1010" i="2"/>
  <c r="G1018" i="2"/>
  <c r="G1026" i="2"/>
  <c r="G1034" i="2"/>
  <c r="G1042" i="2"/>
  <c r="G1050" i="2"/>
  <c r="G1058" i="2"/>
  <c r="G1066" i="2"/>
  <c r="G1074" i="2"/>
  <c r="G1082" i="2"/>
  <c r="G1090" i="2"/>
  <c r="G1098" i="2"/>
  <c r="G1106" i="2"/>
  <c r="G1114" i="2"/>
  <c r="G1122" i="2"/>
  <c r="G1130" i="2"/>
  <c r="G1138" i="2"/>
  <c r="G1146" i="2"/>
  <c r="G1154" i="2"/>
  <c r="G1162" i="2"/>
  <c r="G1170" i="2"/>
  <c r="G1178" i="2"/>
  <c r="G1186" i="2"/>
  <c r="G1194" i="2"/>
  <c r="G1202" i="2"/>
  <c r="G1210" i="2"/>
  <c r="G1218" i="2"/>
  <c r="G1226" i="2"/>
  <c r="G1234" i="2"/>
  <c r="G1242" i="2"/>
  <c r="G1250" i="2"/>
  <c r="G1258" i="2"/>
  <c r="G1266" i="2"/>
  <c r="G1274" i="2"/>
  <c r="G1282" i="2"/>
  <c r="G1290" i="2"/>
  <c r="G1298" i="2"/>
  <c r="G1309" i="2"/>
  <c r="G1319" i="2"/>
  <c r="G1330" i="2"/>
  <c r="G1341" i="2"/>
  <c r="G1351" i="2"/>
  <c r="G1362" i="2"/>
  <c r="G1373" i="2"/>
  <c r="G1383" i="2"/>
  <c r="G1394" i="2"/>
  <c r="G1405" i="2"/>
  <c r="G1415" i="2"/>
  <c r="G1426" i="2"/>
  <c r="G1437" i="2"/>
  <c r="G1447" i="2"/>
  <c r="G1458" i="2"/>
  <c r="G1469" i="2"/>
  <c r="G1479" i="2"/>
  <c r="G1490" i="2"/>
  <c r="G1501" i="2"/>
  <c r="G1511" i="2"/>
  <c r="G1522" i="2"/>
  <c r="G1533" i="2"/>
  <c r="G1543" i="2"/>
  <c r="G1554" i="2"/>
  <c r="G1565" i="2"/>
  <c r="G1575" i="2"/>
  <c r="G1586" i="2"/>
  <c r="G1597" i="2"/>
  <c r="G1607" i="2"/>
  <c r="G1618" i="2"/>
  <c r="G1629" i="2"/>
  <c r="G1639" i="2"/>
  <c r="G1650" i="2"/>
  <c r="G1661" i="2"/>
  <c r="G1671" i="2"/>
  <c r="G1682" i="2"/>
  <c r="G1693" i="2"/>
  <c r="G1703" i="2"/>
  <c r="G1714" i="2"/>
  <c r="G1725" i="2"/>
  <c r="G1735" i="2"/>
  <c r="G1746" i="2"/>
  <c r="G1757" i="2"/>
  <c r="G1767" i="2"/>
  <c r="G1778" i="2"/>
  <c r="G1789" i="2"/>
  <c r="G1799" i="2"/>
  <c r="G1810" i="2"/>
  <c r="G1821" i="2"/>
  <c r="G1831" i="2"/>
  <c r="G1842" i="2"/>
  <c r="G1853" i="2"/>
  <c r="G1863" i="2"/>
  <c r="G1874" i="2"/>
  <c r="G1885" i="2"/>
  <c r="G1895" i="2"/>
  <c r="G1906" i="2"/>
  <c r="G1917" i="2"/>
  <c r="G1927" i="2"/>
  <c r="G1938" i="2"/>
  <c r="G1949" i="2"/>
  <c r="G1959" i="2"/>
  <c r="G1970" i="2"/>
  <c r="G1981" i="2"/>
  <c r="G1991" i="2"/>
  <c r="G2002" i="2"/>
  <c r="G2013" i="2"/>
  <c r="G2023" i="2"/>
  <c r="G2034" i="2"/>
  <c r="G2045" i="2"/>
  <c r="G2055" i="2"/>
  <c r="G2066" i="2"/>
  <c r="G2077" i="2"/>
  <c r="G2087" i="2"/>
  <c r="G2098" i="2"/>
  <c r="G2109" i="2"/>
  <c r="G2119" i="2"/>
  <c r="G2130" i="2"/>
  <c r="G2141" i="2"/>
  <c r="G2151" i="2"/>
  <c r="G2162" i="2"/>
  <c r="G2173" i="2"/>
  <c r="G2183" i="2"/>
  <c r="G2194" i="2"/>
  <c r="G2205" i="2"/>
  <c r="G2215" i="2"/>
  <c r="G2226" i="2"/>
  <c r="G2237" i="2"/>
  <c r="G2247" i="2"/>
  <c r="G2258" i="2"/>
  <c r="G2269" i="2"/>
  <c r="G2279" i="2"/>
  <c r="G2290" i="2"/>
  <c r="G2301" i="2"/>
  <c r="G2311" i="2"/>
  <c r="G2322" i="2"/>
  <c r="G2333" i="2"/>
  <c r="G2343" i="2"/>
  <c r="G2354" i="2"/>
  <c r="G2365" i="2"/>
  <c r="G2375" i="2"/>
  <c r="G2386" i="2"/>
  <c r="G2397" i="2"/>
  <c r="G2407" i="2"/>
  <c r="G2418" i="2"/>
  <c r="G2429" i="2"/>
  <c r="G2439" i="2"/>
  <c r="G2450" i="2"/>
  <c r="G2461" i="2"/>
  <c r="G2471" i="2"/>
  <c r="G2482" i="2"/>
  <c r="G2493" i="2"/>
  <c r="G2503" i="2"/>
  <c r="G2514" i="2"/>
  <c r="G2525" i="2"/>
  <c r="G2535" i="2"/>
  <c r="G2546" i="2"/>
  <c r="G2557" i="2"/>
  <c r="H2" i="2" l="1" a="1"/>
  <c r="B2" i="2" a="1"/>
  <c r="B4798" i="2" l="1"/>
  <c r="B4794" i="2"/>
  <c r="B4790" i="2"/>
  <c r="B4786" i="2"/>
  <c r="B4782" i="2"/>
  <c r="B4778" i="2"/>
  <c r="B4774" i="2"/>
  <c r="B4770" i="2"/>
  <c r="B4766" i="2"/>
  <c r="B4762" i="2"/>
  <c r="B4758" i="2"/>
  <c r="B4754" i="2"/>
  <c r="B4750" i="2"/>
  <c r="B4746" i="2"/>
  <c r="B4742" i="2"/>
  <c r="B4738" i="2"/>
  <c r="B4734" i="2"/>
  <c r="B4730" i="2"/>
  <c r="B4726" i="2"/>
  <c r="B4722" i="2"/>
  <c r="B4718" i="2"/>
  <c r="B4714" i="2"/>
  <c r="B4710" i="2"/>
  <c r="B4706" i="2"/>
  <c r="B4702" i="2"/>
  <c r="B4698" i="2"/>
  <c r="B4694" i="2"/>
  <c r="B4690" i="2"/>
  <c r="B4686" i="2"/>
  <c r="B4682" i="2"/>
  <c r="B4678" i="2"/>
  <c r="B4674" i="2"/>
  <c r="B4670" i="2"/>
  <c r="B4666" i="2"/>
  <c r="B4662" i="2"/>
  <c r="B4658" i="2"/>
  <c r="B4654" i="2"/>
  <c r="B4650" i="2"/>
  <c r="B4646" i="2"/>
  <c r="B4642" i="2"/>
  <c r="B4638" i="2"/>
  <c r="B4634" i="2"/>
  <c r="B4630" i="2"/>
  <c r="B4626" i="2"/>
  <c r="B4622" i="2"/>
  <c r="B4618" i="2"/>
  <c r="B4614" i="2"/>
  <c r="B4610" i="2"/>
  <c r="B4606" i="2"/>
  <c r="B4602" i="2"/>
  <c r="B4598" i="2"/>
  <c r="B4594" i="2"/>
  <c r="B4590" i="2"/>
  <c r="B4586" i="2"/>
  <c r="B4582" i="2"/>
  <c r="B4578" i="2"/>
  <c r="B4574" i="2"/>
  <c r="B4570" i="2"/>
  <c r="B4566" i="2"/>
  <c r="B4562" i="2"/>
  <c r="B4558" i="2"/>
  <c r="B4554" i="2"/>
  <c r="B4550" i="2"/>
  <c r="B4546" i="2"/>
  <c r="B4542" i="2"/>
  <c r="B4538" i="2"/>
  <c r="B4534" i="2"/>
  <c r="B4530" i="2"/>
  <c r="B4526" i="2"/>
  <c r="B4522" i="2"/>
  <c r="B4518" i="2"/>
  <c r="B4514" i="2"/>
  <c r="B4510" i="2"/>
  <c r="B4506" i="2"/>
  <c r="B4502" i="2"/>
  <c r="B4498" i="2"/>
  <c r="B4494" i="2"/>
  <c r="B4490" i="2"/>
  <c r="B4486" i="2"/>
  <c r="B4482" i="2"/>
  <c r="B4478" i="2"/>
  <c r="B4474" i="2"/>
  <c r="B4470" i="2"/>
  <c r="B4466" i="2"/>
  <c r="B4462" i="2"/>
  <c r="B4458" i="2"/>
  <c r="B4454" i="2"/>
  <c r="B4450" i="2"/>
  <c r="B4446" i="2"/>
  <c r="B4442" i="2"/>
  <c r="B4438" i="2"/>
  <c r="B4434" i="2"/>
  <c r="B4430" i="2"/>
  <c r="B4426" i="2"/>
  <c r="B4422" i="2"/>
  <c r="B4418" i="2"/>
  <c r="B4414" i="2"/>
  <c r="B4410" i="2"/>
  <c r="B4406" i="2"/>
  <c r="B4402" i="2"/>
  <c r="B4398" i="2"/>
  <c r="B4394" i="2"/>
  <c r="B4390" i="2"/>
  <c r="B4386" i="2"/>
  <c r="B4382" i="2"/>
  <c r="B4378" i="2"/>
  <c r="B4374" i="2"/>
  <c r="B4370" i="2"/>
  <c r="B4366" i="2"/>
  <c r="B4362" i="2"/>
  <c r="B4358" i="2"/>
  <c r="B4354" i="2"/>
  <c r="B4350" i="2"/>
  <c r="B4346" i="2"/>
  <c r="B4342" i="2"/>
  <c r="B4338" i="2"/>
  <c r="B4334" i="2"/>
  <c r="B4330" i="2"/>
  <c r="B4326" i="2"/>
  <c r="B4322" i="2"/>
  <c r="B4318" i="2"/>
  <c r="B4314" i="2"/>
  <c r="B4310" i="2"/>
  <c r="B4306" i="2"/>
  <c r="B4302" i="2"/>
  <c r="B4298" i="2"/>
  <c r="B4294" i="2"/>
  <c r="B4290" i="2"/>
  <c r="B4286" i="2"/>
  <c r="B4282" i="2"/>
  <c r="B4278" i="2"/>
  <c r="B4274" i="2"/>
  <c r="B4270" i="2"/>
  <c r="B4266" i="2"/>
  <c r="B4262" i="2"/>
  <c r="B4258" i="2"/>
  <c r="B4254" i="2"/>
  <c r="B4250" i="2"/>
  <c r="B4246" i="2"/>
  <c r="B4242" i="2"/>
  <c r="B4238" i="2"/>
  <c r="B4234" i="2"/>
  <c r="B4230" i="2"/>
  <c r="B4226" i="2"/>
  <c r="B4222" i="2"/>
  <c r="B4218" i="2"/>
  <c r="B4214" i="2"/>
  <c r="B4210" i="2"/>
  <c r="B4206" i="2"/>
  <c r="B4202" i="2"/>
  <c r="B4198" i="2"/>
  <c r="B4194" i="2"/>
  <c r="B4190" i="2"/>
  <c r="B4186" i="2"/>
  <c r="B4182" i="2"/>
  <c r="B4178" i="2"/>
  <c r="B4174" i="2"/>
  <c r="B4170" i="2"/>
  <c r="B4166" i="2"/>
  <c r="B4162" i="2"/>
  <c r="B4158" i="2"/>
  <c r="B4154" i="2"/>
  <c r="B4150" i="2"/>
  <c r="B4146" i="2"/>
  <c r="B4142" i="2"/>
  <c r="B4138" i="2"/>
  <c r="B4134" i="2"/>
  <c r="B4130" i="2"/>
  <c r="B4126" i="2"/>
  <c r="B4122" i="2"/>
  <c r="B4118" i="2"/>
  <c r="B4114" i="2"/>
  <c r="B4110" i="2"/>
  <c r="B4106" i="2"/>
  <c r="B4102" i="2"/>
  <c r="B4098" i="2"/>
  <c r="B4094" i="2"/>
  <c r="B4090" i="2"/>
  <c r="B4086" i="2"/>
  <c r="B4082" i="2"/>
  <c r="B4078" i="2"/>
  <c r="B4074" i="2"/>
  <c r="B4070" i="2"/>
  <c r="B4066" i="2"/>
  <c r="B4062" i="2"/>
  <c r="B4058" i="2"/>
  <c r="B4054" i="2"/>
  <c r="B4050" i="2"/>
  <c r="B4046" i="2"/>
  <c r="B4042" i="2"/>
  <c r="B4038" i="2"/>
  <c r="B4034" i="2"/>
  <c r="B4030" i="2"/>
  <c r="B4026" i="2"/>
  <c r="B4022" i="2"/>
  <c r="B4018" i="2"/>
  <c r="B4014" i="2"/>
  <c r="B4010" i="2"/>
  <c r="B4006" i="2"/>
  <c r="B4002" i="2"/>
  <c r="B3998" i="2"/>
  <c r="B3994" i="2"/>
  <c r="B3990" i="2"/>
  <c r="B3986" i="2"/>
  <c r="B3982" i="2"/>
  <c r="B3978" i="2"/>
  <c r="B3974" i="2"/>
  <c r="B3970" i="2"/>
  <c r="B3966" i="2"/>
  <c r="B3962" i="2"/>
  <c r="B3958" i="2"/>
  <c r="B3954" i="2"/>
  <c r="B3950" i="2"/>
  <c r="B3946" i="2"/>
  <c r="B3942" i="2"/>
  <c r="B3938" i="2"/>
  <c r="B3934" i="2"/>
  <c r="B3930" i="2"/>
  <c r="B3926" i="2"/>
  <c r="B3922" i="2"/>
  <c r="B3918" i="2"/>
  <c r="B3914" i="2"/>
  <c r="B3910" i="2"/>
  <c r="B3906" i="2"/>
  <c r="B3902" i="2"/>
  <c r="B3898" i="2"/>
  <c r="B3894" i="2"/>
  <c r="B3890" i="2"/>
  <c r="B3886" i="2"/>
  <c r="B3882" i="2"/>
  <c r="B3878" i="2"/>
  <c r="B3874" i="2"/>
  <c r="B3870" i="2"/>
  <c r="B3866" i="2"/>
  <c r="B3862" i="2"/>
  <c r="B3858" i="2"/>
  <c r="B3854" i="2"/>
  <c r="B3850" i="2"/>
  <c r="B3846" i="2"/>
  <c r="B3842" i="2"/>
  <c r="B3838" i="2"/>
  <c r="B3834" i="2"/>
  <c r="B3830" i="2"/>
  <c r="B3826" i="2"/>
  <c r="B3822" i="2"/>
  <c r="B3818" i="2"/>
  <c r="B3814" i="2"/>
  <c r="B3810" i="2"/>
  <c r="B3806" i="2"/>
  <c r="B3802" i="2"/>
  <c r="B3798" i="2"/>
  <c r="B3794" i="2"/>
  <c r="B3790" i="2"/>
  <c r="B3786" i="2"/>
  <c r="B3782" i="2"/>
  <c r="B3778" i="2"/>
  <c r="B3774" i="2"/>
  <c r="B3770" i="2"/>
  <c r="B3766" i="2"/>
  <c r="B3762" i="2"/>
  <c r="B3758" i="2"/>
  <c r="B3754" i="2"/>
  <c r="B3750" i="2"/>
  <c r="B3746" i="2"/>
  <c r="B3742" i="2"/>
  <c r="B3738" i="2"/>
  <c r="B3734" i="2"/>
  <c r="B3730" i="2"/>
  <c r="B3726" i="2"/>
  <c r="B3722" i="2"/>
  <c r="B3718" i="2"/>
  <c r="B3714" i="2"/>
  <c r="B3710" i="2"/>
  <c r="B3706" i="2"/>
  <c r="B3702" i="2"/>
  <c r="B3698" i="2"/>
  <c r="B3694" i="2"/>
  <c r="B3690" i="2"/>
  <c r="B3686" i="2"/>
  <c r="B3682" i="2"/>
  <c r="B3678" i="2"/>
  <c r="B3674" i="2"/>
  <c r="B3670" i="2"/>
  <c r="B3666" i="2"/>
  <c r="B3662" i="2"/>
  <c r="B3658" i="2"/>
  <c r="B3654" i="2"/>
  <c r="B3650" i="2"/>
  <c r="B3646" i="2"/>
  <c r="B3642" i="2"/>
  <c r="B3638" i="2"/>
  <c r="B3634" i="2"/>
  <c r="B3630" i="2"/>
  <c r="B3626" i="2"/>
  <c r="B3622" i="2"/>
  <c r="B3618" i="2"/>
  <c r="B3614" i="2"/>
  <c r="B3610" i="2"/>
  <c r="B3606" i="2"/>
  <c r="B3602" i="2"/>
  <c r="B3598" i="2"/>
  <c r="B3594" i="2"/>
  <c r="B3590" i="2"/>
  <c r="B3586" i="2"/>
  <c r="B3582" i="2"/>
  <c r="B3578" i="2"/>
  <c r="B3574" i="2"/>
  <c r="B3570" i="2"/>
  <c r="B3566" i="2"/>
  <c r="B3562" i="2"/>
  <c r="B3558" i="2"/>
  <c r="B3554" i="2"/>
  <c r="B3550" i="2"/>
  <c r="B3546" i="2"/>
  <c r="B3542" i="2"/>
  <c r="B3538" i="2"/>
  <c r="B3534" i="2"/>
  <c r="B3530" i="2"/>
  <c r="B3526" i="2"/>
  <c r="B3522" i="2"/>
  <c r="B3518" i="2"/>
  <c r="B3514" i="2"/>
  <c r="B3510" i="2"/>
  <c r="B3506" i="2"/>
  <c r="B3502" i="2"/>
  <c r="B3498" i="2"/>
  <c r="B3494" i="2"/>
  <c r="B3490" i="2"/>
  <c r="B3486" i="2"/>
  <c r="B3482" i="2"/>
  <c r="B3478" i="2"/>
  <c r="B3474" i="2"/>
  <c r="B3470" i="2"/>
  <c r="B3466" i="2"/>
  <c r="B3462" i="2"/>
  <c r="B3458" i="2"/>
  <c r="B3454" i="2"/>
  <c r="B3450" i="2"/>
  <c r="B3446" i="2"/>
  <c r="B3442" i="2"/>
  <c r="B3438" i="2"/>
  <c r="B3434" i="2"/>
  <c r="B3430" i="2"/>
  <c r="B3426" i="2"/>
  <c r="B3422" i="2"/>
  <c r="B3418" i="2"/>
  <c r="B3414" i="2"/>
  <c r="B3410" i="2"/>
  <c r="B3406" i="2"/>
  <c r="B3402" i="2"/>
  <c r="B3398" i="2"/>
  <c r="B3394" i="2"/>
  <c r="B3390" i="2"/>
  <c r="B3386" i="2"/>
  <c r="B3382" i="2"/>
  <c r="B3378" i="2"/>
  <c r="B3374" i="2"/>
  <c r="B3370" i="2"/>
  <c r="B3366" i="2"/>
  <c r="B3362" i="2"/>
  <c r="B3358" i="2"/>
  <c r="B3354" i="2"/>
  <c r="B3350" i="2"/>
  <c r="B3346" i="2"/>
  <c r="B3342" i="2"/>
  <c r="B3338" i="2"/>
  <c r="B3334" i="2"/>
  <c r="B3330" i="2"/>
  <c r="B3326" i="2"/>
  <c r="B3322" i="2"/>
  <c r="B3318" i="2"/>
  <c r="B3314" i="2"/>
  <c r="B3310" i="2"/>
  <c r="B3306" i="2"/>
  <c r="B3302" i="2"/>
  <c r="B3298" i="2"/>
  <c r="B3294" i="2"/>
  <c r="B3290" i="2"/>
  <c r="B3286" i="2"/>
  <c r="B3282" i="2"/>
  <c r="B3278" i="2"/>
  <c r="B3274" i="2"/>
  <c r="B3270" i="2"/>
  <c r="B3266" i="2"/>
  <c r="B3262" i="2"/>
  <c r="B3258" i="2"/>
  <c r="B3254" i="2"/>
  <c r="B3250" i="2"/>
  <c r="B3246" i="2"/>
  <c r="B3242" i="2"/>
  <c r="B3238" i="2"/>
  <c r="B3234" i="2"/>
  <c r="B3230" i="2"/>
  <c r="B3226" i="2"/>
  <c r="B3222" i="2"/>
  <c r="B3218" i="2"/>
  <c r="B3214" i="2"/>
  <c r="B3210" i="2"/>
  <c r="B3206" i="2"/>
  <c r="B3202" i="2"/>
  <c r="B3198" i="2"/>
  <c r="B3194" i="2"/>
  <c r="B3190" i="2"/>
  <c r="B3186" i="2"/>
  <c r="B3182" i="2"/>
  <c r="B3178" i="2"/>
  <c r="B3174" i="2"/>
  <c r="B3170" i="2"/>
  <c r="B3166" i="2"/>
  <c r="B3162" i="2"/>
  <c r="B3158" i="2"/>
  <c r="B3154" i="2"/>
  <c r="B3150" i="2"/>
  <c r="B3146" i="2"/>
  <c r="B3142" i="2"/>
  <c r="B3138" i="2"/>
  <c r="B3134" i="2"/>
  <c r="B3130" i="2"/>
  <c r="B3126" i="2"/>
  <c r="B3122" i="2"/>
  <c r="B3118" i="2"/>
  <c r="B3114" i="2"/>
  <c r="B3110" i="2"/>
  <c r="B3106" i="2"/>
  <c r="B3102" i="2"/>
  <c r="B3098" i="2"/>
  <c r="B3094" i="2"/>
  <c r="B3090" i="2"/>
  <c r="B3086" i="2"/>
  <c r="B3082" i="2"/>
  <c r="B3078" i="2"/>
  <c r="B3074" i="2"/>
  <c r="B3070" i="2"/>
  <c r="B3066" i="2"/>
  <c r="B3062" i="2"/>
  <c r="B3058" i="2"/>
  <c r="B3054" i="2"/>
  <c r="B3050" i="2"/>
  <c r="B3046" i="2"/>
  <c r="B3042" i="2"/>
  <c r="B3038" i="2"/>
  <c r="B3034" i="2"/>
  <c r="B3030" i="2"/>
  <c r="B3026" i="2"/>
  <c r="B3022" i="2"/>
  <c r="B3018" i="2"/>
  <c r="B3014" i="2"/>
  <c r="B3010" i="2"/>
  <c r="B3006" i="2"/>
  <c r="B3002" i="2"/>
  <c r="B2998" i="2"/>
  <c r="B2994" i="2"/>
  <c r="B2990" i="2"/>
  <c r="B2986" i="2"/>
  <c r="B2982" i="2"/>
  <c r="B2978" i="2"/>
  <c r="B2974" i="2"/>
  <c r="B2970" i="2"/>
  <c r="B2966" i="2"/>
  <c r="B2962" i="2"/>
  <c r="B2958" i="2"/>
  <c r="B2954" i="2"/>
  <c r="B2950" i="2"/>
  <c r="B2946" i="2"/>
  <c r="B2942" i="2"/>
  <c r="B2938" i="2"/>
  <c r="B2934" i="2"/>
  <c r="B2930" i="2"/>
  <c r="B2926" i="2"/>
  <c r="B2922" i="2"/>
  <c r="B2918" i="2"/>
  <c r="B2914" i="2"/>
  <c r="B2910" i="2"/>
  <c r="B2906" i="2"/>
  <c r="B2902" i="2"/>
  <c r="B2898" i="2"/>
  <c r="B2894" i="2"/>
  <c r="B2890" i="2"/>
  <c r="B2886" i="2"/>
  <c r="B2882" i="2"/>
  <c r="B2878" i="2"/>
  <c r="B2874" i="2"/>
  <c r="B2870" i="2"/>
  <c r="B2866" i="2"/>
  <c r="B2862" i="2"/>
  <c r="B2858" i="2"/>
  <c r="B2854" i="2"/>
  <c r="B2850" i="2"/>
  <c r="B2846" i="2"/>
  <c r="B2842" i="2"/>
  <c r="B2838" i="2"/>
  <c r="B2834" i="2"/>
  <c r="B2830" i="2"/>
  <c r="B2826" i="2"/>
  <c r="B2822" i="2"/>
  <c r="B2818" i="2"/>
  <c r="B2814" i="2"/>
  <c r="B2810" i="2"/>
  <c r="B2806" i="2"/>
  <c r="B2802" i="2"/>
  <c r="B2798" i="2"/>
  <c r="B2794" i="2"/>
  <c r="B2790" i="2"/>
  <c r="B2786" i="2"/>
  <c r="B2782" i="2"/>
  <c r="B2778" i="2"/>
  <c r="B2774" i="2"/>
  <c r="B2770" i="2"/>
  <c r="B2766" i="2"/>
  <c r="B2762" i="2"/>
  <c r="B2758" i="2"/>
  <c r="B2754" i="2"/>
  <c r="B2750" i="2"/>
  <c r="B2746" i="2"/>
  <c r="B2742" i="2"/>
  <c r="B2738" i="2"/>
  <c r="B2734" i="2"/>
  <c r="B2730" i="2"/>
  <c r="B2726" i="2"/>
  <c r="B2722" i="2"/>
  <c r="B2718" i="2"/>
  <c r="B2714" i="2"/>
  <c r="B2710" i="2"/>
  <c r="B2706" i="2"/>
  <c r="B2702" i="2"/>
  <c r="B2698" i="2"/>
  <c r="B2694" i="2"/>
  <c r="B2690" i="2"/>
  <c r="B2686" i="2"/>
  <c r="B2682" i="2"/>
  <c r="B2678" i="2"/>
  <c r="B2674" i="2"/>
  <c r="B2670" i="2"/>
  <c r="B2666" i="2"/>
  <c r="B2662" i="2"/>
  <c r="B2658" i="2"/>
  <c r="B2654" i="2"/>
  <c r="B2650" i="2"/>
  <c r="B2646" i="2"/>
  <c r="B2642" i="2"/>
  <c r="B2638" i="2"/>
  <c r="B2634" i="2"/>
  <c r="B2630" i="2"/>
  <c r="B2626" i="2"/>
  <c r="B2622" i="2"/>
  <c r="B2618" i="2"/>
  <c r="B2614" i="2"/>
  <c r="B2610" i="2"/>
  <c r="B2606" i="2"/>
  <c r="B2602" i="2"/>
  <c r="B2598" i="2"/>
  <c r="B2594" i="2"/>
  <c r="B2590" i="2"/>
  <c r="B2586" i="2"/>
  <c r="B2582" i="2"/>
  <c r="B2578" i="2"/>
  <c r="B2574" i="2"/>
  <c r="B2570" i="2"/>
  <c r="B2566" i="2"/>
  <c r="B2562" i="2"/>
  <c r="B2558" i="2"/>
  <c r="B2554" i="2"/>
  <c r="B2550" i="2"/>
  <c r="B2546" i="2"/>
  <c r="B2542" i="2"/>
  <c r="B2538" i="2"/>
  <c r="B2534" i="2"/>
  <c r="B2530" i="2"/>
  <c r="B2526" i="2"/>
  <c r="B2522" i="2"/>
  <c r="B2518" i="2"/>
  <c r="B2514" i="2"/>
  <c r="B2510" i="2"/>
  <c r="B2506" i="2"/>
  <c r="B2502" i="2"/>
  <c r="B2498" i="2"/>
  <c r="B2494" i="2"/>
  <c r="B2490" i="2"/>
  <c r="B2486" i="2"/>
  <c r="B2482" i="2"/>
  <c r="B2478" i="2"/>
  <c r="B2474" i="2"/>
  <c r="B2470" i="2"/>
  <c r="B2466" i="2"/>
  <c r="B2462" i="2"/>
  <c r="B2458" i="2"/>
  <c r="B2454" i="2"/>
  <c r="B2450" i="2"/>
  <c r="B2446" i="2"/>
  <c r="B2442" i="2"/>
  <c r="B2438" i="2"/>
  <c r="B2434" i="2"/>
  <c r="B2430" i="2"/>
  <c r="B2426" i="2"/>
  <c r="B2422" i="2"/>
  <c r="B2418" i="2"/>
  <c r="B2414" i="2"/>
  <c r="B2410" i="2"/>
  <c r="B2406" i="2"/>
  <c r="B2402" i="2"/>
  <c r="B2398" i="2"/>
  <c r="B2394" i="2"/>
  <c r="B2390" i="2"/>
  <c r="B2386" i="2"/>
  <c r="B2382" i="2"/>
  <c r="B2378" i="2"/>
  <c r="B2374" i="2"/>
  <c r="B2370" i="2"/>
  <c r="B2366" i="2"/>
  <c r="B2362" i="2"/>
  <c r="B2358" i="2"/>
  <c r="B2354" i="2"/>
  <c r="B2350" i="2"/>
  <c r="B2346" i="2"/>
  <c r="B2342" i="2"/>
  <c r="B2338" i="2"/>
  <c r="B2334" i="2"/>
  <c r="B2330" i="2"/>
  <c r="B2326" i="2"/>
  <c r="B2322" i="2"/>
  <c r="B2318" i="2"/>
  <c r="B4801" i="2"/>
  <c r="B4797" i="2"/>
  <c r="B4793" i="2"/>
  <c r="B4789" i="2"/>
  <c r="B4785" i="2"/>
  <c r="B4781" i="2"/>
  <c r="B4777" i="2"/>
  <c r="B4773" i="2"/>
  <c r="B4769" i="2"/>
  <c r="B4765" i="2"/>
  <c r="B4761" i="2"/>
  <c r="B4757" i="2"/>
  <c r="B4753" i="2"/>
  <c r="B4749" i="2"/>
  <c r="B4745" i="2"/>
  <c r="B4741" i="2"/>
  <c r="B4737" i="2"/>
  <c r="B4733" i="2"/>
  <c r="B4729" i="2"/>
  <c r="B4725" i="2"/>
  <c r="B4721" i="2"/>
  <c r="B4717" i="2"/>
  <c r="B4713" i="2"/>
  <c r="B4709" i="2"/>
  <c r="B4705" i="2"/>
  <c r="B4701" i="2"/>
  <c r="B4697" i="2"/>
  <c r="B4693" i="2"/>
  <c r="B4689" i="2"/>
  <c r="B4685" i="2"/>
  <c r="B4681" i="2"/>
  <c r="B4677" i="2"/>
  <c r="B4673" i="2"/>
  <c r="B4669" i="2"/>
  <c r="B4665" i="2"/>
  <c r="B4661" i="2"/>
  <c r="B4657" i="2"/>
  <c r="B4653" i="2"/>
  <c r="B4649" i="2"/>
  <c r="B4645" i="2"/>
  <c r="B4641" i="2"/>
  <c r="B4637" i="2"/>
  <c r="B4633" i="2"/>
  <c r="B4629" i="2"/>
  <c r="B4625" i="2"/>
  <c r="B4621" i="2"/>
  <c r="B4617" i="2"/>
  <c r="B4613" i="2"/>
  <c r="B4609" i="2"/>
  <c r="B4605" i="2"/>
  <c r="B4601" i="2"/>
  <c r="B4597" i="2"/>
  <c r="B4593" i="2"/>
  <c r="B4589" i="2"/>
  <c r="B4585" i="2"/>
  <c r="B4581" i="2"/>
  <c r="B4577" i="2"/>
  <c r="B4573" i="2"/>
  <c r="B4569" i="2"/>
  <c r="B4565" i="2"/>
  <c r="B4561" i="2"/>
  <c r="B4557" i="2"/>
  <c r="B4553" i="2"/>
  <c r="B4549" i="2"/>
  <c r="B4545" i="2"/>
  <c r="B4541" i="2"/>
  <c r="B4537" i="2"/>
  <c r="B4533" i="2"/>
  <c r="B4529" i="2"/>
  <c r="B4525" i="2"/>
  <c r="B4521" i="2"/>
  <c r="B4517" i="2"/>
  <c r="B4513" i="2"/>
  <c r="B4509" i="2"/>
  <c r="B4505" i="2"/>
  <c r="B4501" i="2"/>
  <c r="B4497" i="2"/>
  <c r="B4493" i="2"/>
  <c r="B4489" i="2"/>
  <c r="B4485" i="2"/>
  <c r="B4481" i="2"/>
  <c r="B4477" i="2"/>
  <c r="B4473" i="2"/>
  <c r="B4469" i="2"/>
  <c r="B4465" i="2"/>
  <c r="B4461" i="2"/>
  <c r="B4457" i="2"/>
  <c r="B4453" i="2"/>
  <c r="B4449" i="2"/>
  <c r="B4445" i="2"/>
  <c r="B4441" i="2"/>
  <c r="B4437" i="2"/>
  <c r="B4433" i="2"/>
  <c r="B4429" i="2"/>
  <c r="B4425" i="2"/>
  <c r="B4421" i="2"/>
  <c r="B4417" i="2"/>
  <c r="B4413" i="2"/>
  <c r="B4409" i="2"/>
  <c r="B4405" i="2"/>
  <c r="B4401" i="2"/>
  <c r="B4397" i="2"/>
  <c r="B4393" i="2"/>
  <c r="B4389" i="2"/>
  <c r="B4385" i="2"/>
  <c r="B4381" i="2"/>
  <c r="B4377" i="2"/>
  <c r="B4373" i="2"/>
  <c r="B4369" i="2"/>
  <c r="B4365" i="2"/>
  <c r="B4361" i="2"/>
  <c r="B4357" i="2"/>
  <c r="B4353" i="2"/>
  <c r="B4349" i="2"/>
  <c r="B4345" i="2"/>
  <c r="B4341" i="2"/>
  <c r="B4337" i="2"/>
  <c r="B4333" i="2"/>
  <c r="B4329" i="2"/>
  <c r="B4325" i="2"/>
  <c r="B4321" i="2"/>
  <c r="B4317" i="2"/>
  <c r="B4313" i="2"/>
  <c r="B4309" i="2"/>
  <c r="B4305" i="2"/>
  <c r="B4301" i="2"/>
  <c r="B4297" i="2"/>
  <c r="B4293" i="2"/>
  <c r="B4289" i="2"/>
  <c r="B4285" i="2"/>
  <c r="B4281" i="2"/>
  <c r="B4277" i="2"/>
  <c r="B4273" i="2"/>
  <c r="B4269" i="2"/>
  <c r="B4265" i="2"/>
  <c r="B4261" i="2"/>
  <c r="B4257" i="2"/>
  <c r="B4253" i="2"/>
  <c r="B4249" i="2"/>
  <c r="B4245" i="2"/>
  <c r="B4241" i="2"/>
  <c r="B4237" i="2"/>
  <c r="B4233" i="2"/>
  <c r="B4229" i="2"/>
  <c r="B4225" i="2"/>
  <c r="B4221" i="2"/>
  <c r="B4217" i="2"/>
  <c r="B4213" i="2"/>
  <c r="B4209" i="2"/>
  <c r="B4205" i="2"/>
  <c r="B4201" i="2"/>
  <c r="B4197" i="2"/>
  <c r="B4193" i="2"/>
  <c r="B4189" i="2"/>
  <c r="B4185" i="2"/>
  <c r="B4181" i="2"/>
  <c r="B4177" i="2"/>
  <c r="B4173" i="2"/>
  <c r="B4169" i="2"/>
  <c r="B4165" i="2"/>
  <c r="B4161" i="2"/>
  <c r="B4157" i="2"/>
  <c r="B4153" i="2"/>
  <c r="B4149" i="2"/>
  <c r="B4145" i="2"/>
  <c r="B4141" i="2"/>
  <c r="B4137" i="2"/>
  <c r="B4133" i="2"/>
  <c r="B4129" i="2"/>
  <c r="B4125" i="2"/>
  <c r="B4121" i="2"/>
  <c r="B4117" i="2"/>
  <c r="B4113" i="2"/>
  <c r="B4109" i="2"/>
  <c r="B4105" i="2"/>
  <c r="B4101" i="2"/>
  <c r="B4097" i="2"/>
  <c r="B4093" i="2"/>
  <c r="B4089" i="2"/>
  <c r="B4085" i="2"/>
  <c r="B4081" i="2"/>
  <c r="B4077" i="2"/>
  <c r="B4073" i="2"/>
  <c r="B4069" i="2"/>
  <c r="B4065" i="2"/>
  <c r="B4061" i="2"/>
  <c r="B4057" i="2"/>
  <c r="B4053" i="2"/>
  <c r="B4049" i="2"/>
  <c r="B4045" i="2"/>
  <c r="B4041" i="2"/>
  <c r="B4037" i="2"/>
  <c r="B4033" i="2"/>
  <c r="B4029" i="2"/>
  <c r="B4025" i="2"/>
  <c r="B4021" i="2"/>
  <c r="B4017" i="2"/>
  <c r="B4013" i="2"/>
  <c r="B4009" i="2"/>
  <c r="B4005" i="2"/>
  <c r="B4001" i="2"/>
  <c r="B3997" i="2"/>
  <c r="B3993" i="2"/>
  <c r="B3989" i="2"/>
  <c r="B3985" i="2"/>
  <c r="B3981" i="2"/>
  <c r="B3977" i="2"/>
  <c r="B3973" i="2"/>
  <c r="B3969" i="2"/>
  <c r="B3965" i="2"/>
  <c r="B3961" i="2"/>
  <c r="B3957" i="2"/>
  <c r="B3953" i="2"/>
  <c r="B3949" i="2"/>
  <c r="B3945" i="2"/>
  <c r="B3941" i="2"/>
  <c r="B3937" i="2"/>
  <c r="B3933" i="2"/>
  <c r="B3929" i="2"/>
  <c r="B3925" i="2"/>
  <c r="B3921" i="2"/>
  <c r="B3917" i="2"/>
  <c r="B3913" i="2"/>
  <c r="B3909" i="2"/>
  <c r="B3905" i="2"/>
  <c r="B3901" i="2"/>
  <c r="B3897" i="2"/>
  <c r="B3893" i="2"/>
  <c r="B3889" i="2"/>
  <c r="B3885" i="2"/>
  <c r="B3881" i="2"/>
  <c r="B3877" i="2"/>
  <c r="B3873" i="2"/>
  <c r="B3869" i="2"/>
  <c r="B3865" i="2"/>
  <c r="B3861" i="2"/>
  <c r="B3857" i="2"/>
  <c r="B3853" i="2"/>
  <c r="B3849" i="2"/>
  <c r="B3845" i="2"/>
  <c r="B3841" i="2"/>
  <c r="B3837" i="2"/>
  <c r="B3833" i="2"/>
  <c r="B3829" i="2"/>
  <c r="B3825" i="2"/>
  <c r="B3821" i="2"/>
  <c r="B3817" i="2"/>
  <c r="B3813" i="2"/>
  <c r="B3809" i="2"/>
  <c r="B3805" i="2"/>
  <c r="B3801" i="2"/>
  <c r="B3797" i="2"/>
  <c r="B3793" i="2"/>
  <c r="B3789" i="2"/>
  <c r="B3785" i="2"/>
  <c r="B3781" i="2"/>
  <c r="B3777" i="2"/>
  <c r="B3773" i="2"/>
  <c r="B3769" i="2"/>
  <c r="B3765" i="2"/>
  <c r="B3761" i="2"/>
  <c r="B3757" i="2"/>
  <c r="B3753" i="2"/>
  <c r="B3749" i="2"/>
  <c r="B3745" i="2"/>
  <c r="B3741" i="2"/>
  <c r="B3737" i="2"/>
  <c r="B3733" i="2"/>
  <c r="B3729" i="2"/>
  <c r="B3725" i="2"/>
  <c r="B3721" i="2"/>
  <c r="B3717" i="2"/>
  <c r="B3713" i="2"/>
  <c r="B3709" i="2"/>
  <c r="B3705" i="2"/>
  <c r="B3701" i="2"/>
  <c r="B3697" i="2"/>
  <c r="B3693" i="2"/>
  <c r="B3689" i="2"/>
  <c r="B3685" i="2"/>
  <c r="B3681" i="2"/>
  <c r="B3677" i="2"/>
  <c r="B3673" i="2"/>
  <c r="B3669" i="2"/>
  <c r="B3665" i="2"/>
  <c r="B3661" i="2"/>
  <c r="B3657" i="2"/>
  <c r="B3653" i="2"/>
  <c r="B3649" i="2"/>
  <c r="B3645" i="2"/>
  <c r="B3641" i="2"/>
  <c r="B3637" i="2"/>
  <c r="B3633" i="2"/>
  <c r="B3629" i="2"/>
  <c r="B3625" i="2"/>
  <c r="B3621" i="2"/>
  <c r="B3617" i="2"/>
  <c r="B3613" i="2"/>
  <c r="B3609" i="2"/>
  <c r="B3605" i="2"/>
  <c r="B3601" i="2"/>
  <c r="B3597" i="2"/>
  <c r="B3593" i="2"/>
  <c r="B3589" i="2"/>
  <c r="B3585" i="2"/>
  <c r="B3581" i="2"/>
  <c r="B3577" i="2"/>
  <c r="B3573" i="2"/>
  <c r="B3569" i="2"/>
  <c r="B3565" i="2"/>
  <c r="B3561" i="2"/>
  <c r="B3557" i="2"/>
  <c r="B3553" i="2"/>
  <c r="B3549" i="2"/>
  <c r="B3545" i="2"/>
  <c r="B3541" i="2"/>
  <c r="B3537" i="2"/>
  <c r="B3533" i="2"/>
  <c r="B3529" i="2"/>
  <c r="B3525" i="2"/>
  <c r="B3521" i="2"/>
  <c r="B3517" i="2"/>
  <c r="B3513" i="2"/>
  <c r="B3509" i="2"/>
  <c r="B3505" i="2"/>
  <c r="B3501" i="2"/>
  <c r="B3497" i="2"/>
  <c r="B3493" i="2"/>
  <c r="B3489" i="2"/>
  <c r="B3485" i="2"/>
  <c r="B3481" i="2"/>
  <c r="B3477" i="2"/>
  <c r="B3473" i="2"/>
  <c r="B3469" i="2"/>
  <c r="B3465" i="2"/>
  <c r="B3461" i="2"/>
  <c r="B3457" i="2"/>
  <c r="B3453" i="2"/>
  <c r="B3449" i="2"/>
  <c r="B3445" i="2"/>
  <c r="B3441" i="2"/>
  <c r="B3437" i="2"/>
  <c r="B3433" i="2"/>
  <c r="B3429" i="2"/>
  <c r="B3425" i="2"/>
  <c r="B3421" i="2"/>
  <c r="B3417" i="2"/>
  <c r="B3413" i="2"/>
  <c r="B3409" i="2"/>
  <c r="B3405" i="2"/>
  <c r="B3401" i="2"/>
  <c r="B3397" i="2"/>
  <c r="B3393" i="2"/>
  <c r="B3389" i="2"/>
  <c r="B3385" i="2"/>
  <c r="B3381" i="2"/>
  <c r="B3377" i="2"/>
  <c r="B3373" i="2"/>
  <c r="B3369" i="2"/>
  <c r="B3365" i="2"/>
  <c r="B3361" i="2"/>
  <c r="B3357" i="2"/>
  <c r="B3353" i="2"/>
  <c r="B3349" i="2"/>
  <c r="B3345" i="2"/>
  <c r="B3341" i="2"/>
  <c r="B3337" i="2"/>
  <c r="B3333" i="2"/>
  <c r="B3329" i="2"/>
  <c r="B3325" i="2"/>
  <c r="B3321" i="2"/>
  <c r="B3317" i="2"/>
  <c r="B3313" i="2"/>
  <c r="B3309" i="2"/>
  <c r="B3305" i="2"/>
  <c r="B3301" i="2"/>
  <c r="B3297" i="2"/>
  <c r="B3293" i="2"/>
  <c r="B3289" i="2"/>
  <c r="B3285" i="2"/>
  <c r="B3281" i="2"/>
  <c r="B3277" i="2"/>
  <c r="B3273" i="2"/>
  <c r="B3269" i="2"/>
  <c r="B3265" i="2"/>
  <c r="B3261" i="2"/>
  <c r="B3257" i="2"/>
  <c r="B3253" i="2"/>
  <c r="B3249" i="2"/>
  <c r="B3245" i="2"/>
  <c r="B3241" i="2"/>
  <c r="B3237" i="2"/>
  <c r="B3233" i="2"/>
  <c r="B3229" i="2"/>
  <c r="B3225" i="2"/>
  <c r="B3221" i="2"/>
  <c r="B3217" i="2"/>
  <c r="B3213" i="2"/>
  <c r="B3209" i="2"/>
  <c r="B3205" i="2"/>
  <c r="B3201" i="2"/>
  <c r="B3197" i="2"/>
  <c r="B3193" i="2"/>
  <c r="B3189" i="2"/>
  <c r="B3185" i="2"/>
  <c r="B3181" i="2"/>
  <c r="B3177" i="2"/>
  <c r="B3173" i="2"/>
  <c r="B3169" i="2"/>
  <c r="B3165" i="2"/>
  <c r="B3161" i="2"/>
  <c r="B3157" i="2"/>
  <c r="B3153" i="2"/>
  <c r="B3149" i="2"/>
  <c r="B3145" i="2"/>
  <c r="B3141" i="2"/>
  <c r="B3137" i="2"/>
  <c r="B3133" i="2"/>
  <c r="B3129" i="2"/>
  <c r="B3125" i="2"/>
  <c r="B3121" i="2"/>
  <c r="B3117" i="2"/>
  <c r="B3113" i="2"/>
  <c r="B3109" i="2"/>
  <c r="B3105" i="2"/>
  <c r="B3101" i="2"/>
  <c r="B3097" i="2"/>
  <c r="B3093" i="2"/>
  <c r="B3089" i="2"/>
  <c r="B3085" i="2"/>
  <c r="B3081" i="2"/>
  <c r="B3077" i="2"/>
  <c r="B3073" i="2"/>
  <c r="B3069" i="2"/>
  <c r="B3065" i="2"/>
  <c r="B3061" i="2"/>
  <c r="B3057" i="2"/>
  <c r="B3053" i="2"/>
  <c r="B3049" i="2"/>
  <c r="B3045" i="2"/>
  <c r="B3041" i="2"/>
  <c r="B3037" i="2"/>
  <c r="B3033" i="2"/>
  <c r="B3029" i="2"/>
  <c r="B3025" i="2"/>
  <c r="B3021" i="2"/>
  <c r="B3017" i="2"/>
  <c r="B3013" i="2"/>
  <c r="B3009" i="2"/>
  <c r="B3005" i="2"/>
  <c r="B3001" i="2"/>
  <c r="B2997" i="2"/>
  <c r="B2993" i="2"/>
  <c r="B2989" i="2"/>
  <c r="B2985" i="2"/>
  <c r="B2981" i="2"/>
  <c r="B2977" i="2"/>
  <c r="B2973" i="2"/>
  <c r="B2969" i="2"/>
  <c r="B2965" i="2"/>
  <c r="B2961" i="2"/>
  <c r="B2957" i="2"/>
  <c r="B2953" i="2"/>
  <c r="B2949" i="2"/>
  <c r="B2945" i="2"/>
  <c r="B2941" i="2"/>
  <c r="B2937" i="2"/>
  <c r="B2933" i="2"/>
  <c r="B2929" i="2"/>
  <c r="B2925" i="2"/>
  <c r="B2921" i="2"/>
  <c r="B2917" i="2"/>
  <c r="B2913" i="2"/>
  <c r="B2909" i="2"/>
  <c r="B2905" i="2"/>
  <c r="B2901" i="2"/>
  <c r="B2897" i="2"/>
  <c r="B2893" i="2"/>
  <c r="B2889" i="2"/>
  <c r="B2885" i="2"/>
  <c r="B2881" i="2"/>
  <c r="B2877" i="2"/>
  <c r="B2873" i="2"/>
  <c r="B2869" i="2"/>
  <c r="B2865" i="2"/>
  <c r="B2861" i="2"/>
  <c r="B2857" i="2"/>
  <c r="B2853" i="2"/>
  <c r="B2849" i="2"/>
  <c r="B2845" i="2"/>
  <c r="B2841" i="2"/>
  <c r="B2837" i="2"/>
  <c r="B2833" i="2"/>
  <c r="B2829" i="2"/>
  <c r="B2825" i="2"/>
  <c r="B2821" i="2"/>
  <c r="B2817" i="2"/>
  <c r="B2813" i="2"/>
  <c r="B2809" i="2"/>
  <c r="B2805" i="2"/>
  <c r="B2801" i="2"/>
  <c r="B2797" i="2"/>
  <c r="B2793" i="2"/>
  <c r="B2789" i="2"/>
  <c r="B2785" i="2"/>
  <c r="B2781" i="2"/>
  <c r="B2777" i="2"/>
  <c r="B2773" i="2"/>
  <c r="B2769" i="2"/>
  <c r="B2765" i="2"/>
  <c r="B2761" i="2"/>
  <c r="B2757" i="2"/>
  <c r="B2753" i="2"/>
  <c r="B2749" i="2"/>
  <c r="B2745" i="2"/>
  <c r="B2741" i="2"/>
  <c r="B2737" i="2"/>
  <c r="B2733" i="2"/>
  <c r="B2729" i="2"/>
  <c r="B2725" i="2"/>
  <c r="B2721" i="2"/>
  <c r="B2717" i="2"/>
  <c r="B2713" i="2"/>
  <c r="B2709" i="2"/>
  <c r="B2705" i="2"/>
  <c r="B2701" i="2"/>
  <c r="B2697" i="2"/>
  <c r="B2693" i="2"/>
  <c r="B2689" i="2"/>
  <c r="B2685" i="2"/>
  <c r="B2681" i="2"/>
  <c r="B2677" i="2"/>
  <c r="B2673" i="2"/>
  <c r="B2669" i="2"/>
  <c r="B2665" i="2"/>
  <c r="B2661" i="2"/>
  <c r="B2657" i="2"/>
  <c r="B2653" i="2"/>
  <c r="B2649" i="2"/>
  <c r="B2645" i="2"/>
  <c r="B2641" i="2"/>
  <c r="B2637" i="2"/>
  <c r="B2633" i="2"/>
  <c r="B2629" i="2"/>
  <c r="B2625" i="2"/>
  <c r="B2621" i="2"/>
  <c r="B2617" i="2"/>
  <c r="B2613" i="2"/>
  <c r="B2609" i="2"/>
  <c r="B2605" i="2"/>
  <c r="B2601" i="2"/>
  <c r="B2597" i="2"/>
  <c r="B2593" i="2"/>
  <c r="B2589" i="2"/>
  <c r="B2585" i="2"/>
  <c r="B2581" i="2"/>
  <c r="B2577" i="2"/>
  <c r="B2573" i="2"/>
  <c r="B2569" i="2"/>
  <c r="B2565" i="2"/>
  <c r="B2561" i="2"/>
  <c r="B2557" i="2"/>
  <c r="B2553" i="2"/>
  <c r="B2549" i="2"/>
  <c r="B2545" i="2"/>
  <c r="B2541" i="2"/>
  <c r="B2537" i="2"/>
  <c r="B2533" i="2"/>
  <c r="B2529" i="2"/>
  <c r="B2525" i="2"/>
  <c r="B2521" i="2"/>
  <c r="B2517" i="2"/>
  <c r="B2513" i="2"/>
  <c r="B2509" i="2"/>
  <c r="B2505" i="2"/>
  <c r="B2501" i="2"/>
  <c r="B2497" i="2"/>
  <c r="B2493" i="2"/>
  <c r="B2489" i="2"/>
  <c r="B2485" i="2"/>
  <c r="B2481" i="2"/>
  <c r="B2477" i="2"/>
  <c r="B2473" i="2"/>
  <c r="B2469" i="2"/>
  <c r="B2465" i="2"/>
  <c r="B2461" i="2"/>
  <c r="B2457" i="2"/>
  <c r="B2453" i="2"/>
  <c r="B2449" i="2"/>
  <c r="B2445" i="2"/>
  <c r="B2441" i="2"/>
  <c r="B2437" i="2"/>
  <c r="B2433" i="2"/>
  <c r="B2429" i="2"/>
  <c r="B2425" i="2"/>
  <c r="B2421" i="2"/>
  <c r="B2417" i="2"/>
  <c r="B2413" i="2"/>
  <c r="B4800" i="2"/>
  <c r="B4792" i="2"/>
  <c r="B4784" i="2"/>
  <c r="B4776" i="2"/>
  <c r="B4768" i="2"/>
  <c r="B4760" i="2"/>
  <c r="B4752" i="2"/>
  <c r="B4744" i="2"/>
  <c r="B4736" i="2"/>
  <c r="B4728" i="2"/>
  <c r="B4720" i="2"/>
  <c r="B4712" i="2"/>
  <c r="B4704" i="2"/>
  <c r="B4696" i="2"/>
  <c r="B4688" i="2"/>
  <c r="B4680" i="2"/>
  <c r="B4672" i="2"/>
  <c r="B4664" i="2"/>
  <c r="B4656" i="2"/>
  <c r="B4648" i="2"/>
  <c r="B4640" i="2"/>
  <c r="B4632" i="2"/>
  <c r="B4624" i="2"/>
  <c r="B4616" i="2"/>
  <c r="B4608" i="2"/>
  <c r="B4600" i="2"/>
  <c r="B4592" i="2"/>
  <c r="B4584" i="2"/>
  <c r="B4576" i="2"/>
  <c r="B4568" i="2"/>
  <c r="B4560" i="2"/>
  <c r="B4552" i="2"/>
  <c r="B4544" i="2"/>
  <c r="B4536" i="2"/>
  <c r="B4528" i="2"/>
  <c r="B4520" i="2"/>
  <c r="B4512" i="2"/>
  <c r="B4504" i="2"/>
  <c r="B4496" i="2"/>
  <c r="B4488" i="2"/>
  <c r="B4480" i="2"/>
  <c r="B4472" i="2"/>
  <c r="B4464" i="2"/>
  <c r="B4456" i="2"/>
  <c r="B4448" i="2"/>
  <c r="B4440" i="2"/>
  <c r="B4432" i="2"/>
  <c r="B4424" i="2"/>
  <c r="B4416" i="2"/>
  <c r="B4408" i="2"/>
  <c r="B4400" i="2"/>
  <c r="B4392" i="2"/>
  <c r="B4384" i="2"/>
  <c r="B4376" i="2"/>
  <c r="B4368" i="2"/>
  <c r="B4360" i="2"/>
  <c r="B4352" i="2"/>
  <c r="B4344" i="2"/>
  <c r="B4336" i="2"/>
  <c r="B4328" i="2"/>
  <c r="B4320" i="2"/>
  <c r="B4312" i="2"/>
  <c r="B4304" i="2"/>
  <c r="B4296" i="2"/>
  <c r="B4288" i="2"/>
  <c r="B4280" i="2"/>
  <c r="B4272" i="2"/>
  <c r="B4264" i="2"/>
  <c r="B4256" i="2"/>
  <c r="B4248" i="2"/>
  <c r="B4240" i="2"/>
  <c r="B4232" i="2"/>
  <c r="B4224" i="2"/>
  <c r="B4216" i="2"/>
  <c r="B4208" i="2"/>
  <c r="B4200" i="2"/>
  <c r="B4192" i="2"/>
  <c r="B4184" i="2"/>
  <c r="B4176" i="2"/>
  <c r="B4168" i="2"/>
  <c r="B4160" i="2"/>
  <c r="B4152" i="2"/>
  <c r="B4144" i="2"/>
  <c r="B4136" i="2"/>
  <c r="B4128" i="2"/>
  <c r="B4120" i="2"/>
  <c r="B4112" i="2"/>
  <c r="B4104" i="2"/>
  <c r="B4096" i="2"/>
  <c r="B4088" i="2"/>
  <c r="B4080" i="2"/>
  <c r="B4072" i="2"/>
  <c r="B4064" i="2"/>
  <c r="B4056" i="2"/>
  <c r="B4048" i="2"/>
  <c r="B4040" i="2"/>
  <c r="B4032" i="2"/>
  <c r="B4024" i="2"/>
  <c r="B4016" i="2"/>
  <c r="B4008" i="2"/>
  <c r="B4000" i="2"/>
  <c r="B3992" i="2"/>
  <c r="B3984" i="2"/>
  <c r="B3976" i="2"/>
  <c r="B3968" i="2"/>
  <c r="B3960" i="2"/>
  <c r="B3952" i="2"/>
  <c r="B3944" i="2"/>
  <c r="B3936" i="2"/>
  <c r="B3928" i="2"/>
  <c r="B3920" i="2"/>
  <c r="B3912" i="2"/>
  <c r="B3904" i="2"/>
  <c r="B3896" i="2"/>
  <c r="B3888" i="2"/>
  <c r="B3880" i="2"/>
  <c r="B3872" i="2"/>
  <c r="B3864" i="2"/>
  <c r="B3856" i="2"/>
  <c r="B3848" i="2"/>
  <c r="B3840" i="2"/>
  <c r="B3832" i="2"/>
  <c r="B3824" i="2"/>
  <c r="B3816" i="2"/>
  <c r="B3808" i="2"/>
  <c r="B3800" i="2"/>
  <c r="B3792" i="2"/>
  <c r="B3784" i="2"/>
  <c r="B3776" i="2"/>
  <c r="B3768" i="2"/>
  <c r="B3760" i="2"/>
  <c r="B3752" i="2"/>
  <c r="B3744" i="2"/>
  <c r="B3736" i="2"/>
  <c r="B3728" i="2"/>
  <c r="B3720" i="2"/>
  <c r="B3712" i="2"/>
  <c r="B3704" i="2"/>
  <c r="B3696" i="2"/>
  <c r="B3688" i="2"/>
  <c r="B3680" i="2"/>
  <c r="B3672" i="2"/>
  <c r="B3664" i="2"/>
  <c r="B3656" i="2"/>
  <c r="B3648" i="2"/>
  <c r="B3640" i="2"/>
  <c r="B3632" i="2"/>
  <c r="B3624" i="2"/>
  <c r="B3616" i="2"/>
  <c r="B3608" i="2"/>
  <c r="B3600" i="2"/>
  <c r="B3592" i="2"/>
  <c r="B3584" i="2"/>
  <c r="B3576" i="2"/>
  <c r="B3568" i="2"/>
  <c r="B3560" i="2"/>
  <c r="B3552" i="2"/>
  <c r="B3544" i="2"/>
  <c r="B3536" i="2"/>
  <c r="B3528" i="2"/>
  <c r="B3520" i="2"/>
  <c r="B3512" i="2"/>
  <c r="B3504" i="2"/>
  <c r="B3496" i="2"/>
  <c r="B3488" i="2"/>
  <c r="B3480" i="2"/>
  <c r="B3472" i="2"/>
  <c r="B3464" i="2"/>
  <c r="B3456" i="2"/>
  <c r="B3448" i="2"/>
  <c r="B3440" i="2"/>
  <c r="B3432" i="2"/>
  <c r="B3424" i="2"/>
  <c r="B3416" i="2"/>
  <c r="B3408" i="2"/>
  <c r="B3400" i="2"/>
  <c r="B3392" i="2"/>
  <c r="B3384" i="2"/>
  <c r="B3376" i="2"/>
  <c r="B3368" i="2"/>
  <c r="B3360" i="2"/>
  <c r="B3352" i="2"/>
  <c r="B3344" i="2"/>
  <c r="B3336" i="2"/>
  <c r="B3328" i="2"/>
  <c r="B3320" i="2"/>
  <c r="B3312" i="2"/>
  <c r="B3304" i="2"/>
  <c r="B3296" i="2"/>
  <c r="B3288" i="2"/>
  <c r="B3280" i="2"/>
  <c r="B3272" i="2"/>
  <c r="B3264" i="2"/>
  <c r="B3256" i="2"/>
  <c r="B3248" i="2"/>
  <c r="B3240" i="2"/>
  <c r="B3232" i="2"/>
  <c r="B3224" i="2"/>
  <c r="B3216" i="2"/>
  <c r="B3208" i="2"/>
  <c r="B3200" i="2"/>
  <c r="B3192" i="2"/>
  <c r="B3184" i="2"/>
  <c r="B3176" i="2"/>
  <c r="B3168" i="2"/>
  <c r="B3160" i="2"/>
  <c r="B3152" i="2"/>
  <c r="B3144" i="2"/>
  <c r="B3136" i="2"/>
  <c r="B3128" i="2"/>
  <c r="B3120" i="2"/>
  <c r="B3112" i="2"/>
  <c r="B3104" i="2"/>
  <c r="B3096" i="2"/>
  <c r="B3088" i="2"/>
  <c r="B3080" i="2"/>
  <c r="B3072" i="2"/>
  <c r="B3064" i="2"/>
  <c r="B3056" i="2"/>
  <c r="B3048" i="2"/>
  <c r="B3040" i="2"/>
  <c r="B3032" i="2"/>
  <c r="B3024" i="2"/>
  <c r="B3016" i="2"/>
  <c r="B3008" i="2"/>
  <c r="B3000" i="2"/>
  <c r="B2992" i="2"/>
  <c r="B2984" i="2"/>
  <c r="B2976" i="2"/>
  <c r="B2968" i="2"/>
  <c r="B2960" i="2"/>
  <c r="B2952" i="2"/>
  <c r="B2944" i="2"/>
  <c r="B2936" i="2"/>
  <c r="B2928" i="2"/>
  <c r="B2920" i="2"/>
  <c r="B2912" i="2"/>
  <c r="B2904" i="2"/>
  <c r="B2896" i="2"/>
  <c r="B2888" i="2"/>
  <c r="B2880" i="2"/>
  <c r="B2872" i="2"/>
  <c r="B2864" i="2"/>
  <c r="B2856" i="2"/>
  <c r="B2848" i="2"/>
  <c r="B2840" i="2"/>
  <c r="B2832" i="2"/>
  <c r="B2824" i="2"/>
  <c r="B2816" i="2"/>
  <c r="B2808" i="2"/>
  <c r="B2800" i="2"/>
  <c r="B2792" i="2"/>
  <c r="B2784" i="2"/>
  <c r="B2776" i="2"/>
  <c r="B2768" i="2"/>
  <c r="B2760" i="2"/>
  <c r="B2752" i="2"/>
  <c r="B2744" i="2"/>
  <c r="B2736" i="2"/>
  <c r="B2728" i="2"/>
  <c r="B2720" i="2"/>
  <c r="B2712" i="2"/>
  <c r="B2704" i="2"/>
  <c r="B2696" i="2"/>
  <c r="B2688" i="2"/>
  <c r="B2680" i="2"/>
  <c r="B2672" i="2"/>
  <c r="B2664" i="2"/>
  <c r="B2656" i="2"/>
  <c r="B2648" i="2"/>
  <c r="B2640" i="2"/>
  <c r="B2632" i="2"/>
  <c r="B2624" i="2"/>
  <c r="B2616" i="2"/>
  <c r="B2608" i="2"/>
  <c r="B2600" i="2"/>
  <c r="B2592" i="2"/>
  <c r="B2584" i="2"/>
  <c r="B2576" i="2"/>
  <c r="B2568" i="2"/>
  <c r="B2560" i="2"/>
  <c r="B2552" i="2"/>
  <c r="B2544" i="2"/>
  <c r="B2536" i="2"/>
  <c r="B2528" i="2"/>
  <c r="B2520" i="2"/>
  <c r="B2512" i="2"/>
  <c r="B2504" i="2"/>
  <c r="B2496" i="2"/>
  <c r="B2488" i="2"/>
  <c r="B2480" i="2"/>
  <c r="B2472" i="2"/>
  <c r="B2464" i="2"/>
  <c r="B2456" i="2"/>
  <c r="B2448" i="2"/>
  <c r="B2440" i="2"/>
  <c r="B2432" i="2"/>
  <c r="B2424" i="2"/>
  <c r="B2416" i="2"/>
  <c r="B2409" i="2"/>
  <c r="B2404" i="2"/>
  <c r="B2399" i="2"/>
  <c r="B2393" i="2"/>
  <c r="B2388" i="2"/>
  <c r="B2383" i="2"/>
  <c r="B2377" i="2"/>
  <c r="B2372" i="2"/>
  <c r="B2367" i="2"/>
  <c r="B2361" i="2"/>
  <c r="B2356" i="2"/>
  <c r="B2351" i="2"/>
  <c r="B2345" i="2"/>
  <c r="B2340" i="2"/>
  <c r="B2335" i="2"/>
  <c r="B2329" i="2"/>
  <c r="B2324" i="2"/>
  <c r="B2319" i="2"/>
  <c r="B2314" i="2"/>
  <c r="B2310" i="2"/>
  <c r="B2306" i="2"/>
  <c r="B2302" i="2"/>
  <c r="B2298" i="2"/>
  <c r="B2294" i="2"/>
  <c r="B2290" i="2"/>
  <c r="B2286" i="2"/>
  <c r="B2282" i="2"/>
  <c r="B2278" i="2"/>
  <c r="B2274" i="2"/>
  <c r="B2270" i="2"/>
  <c r="B2266" i="2"/>
  <c r="B2262" i="2"/>
  <c r="B2258" i="2"/>
  <c r="B2254" i="2"/>
  <c r="B2250" i="2"/>
  <c r="B2246" i="2"/>
  <c r="B2242" i="2"/>
  <c r="B2238" i="2"/>
  <c r="B2234" i="2"/>
  <c r="B2230" i="2"/>
  <c r="B2226" i="2"/>
  <c r="B2222" i="2"/>
  <c r="B2218" i="2"/>
  <c r="B2214" i="2"/>
  <c r="B2210" i="2"/>
  <c r="B2206" i="2"/>
  <c r="B2202" i="2"/>
  <c r="B2198" i="2"/>
  <c r="B2194" i="2"/>
  <c r="B2190" i="2"/>
  <c r="B2186" i="2"/>
  <c r="B2182" i="2"/>
  <c r="B2178" i="2"/>
  <c r="B2174" i="2"/>
  <c r="B2170" i="2"/>
  <c r="B2166" i="2"/>
  <c r="B2162" i="2"/>
  <c r="B2158" i="2"/>
  <c r="B2154" i="2"/>
  <c r="B2150" i="2"/>
  <c r="B2146" i="2"/>
  <c r="B2142" i="2"/>
  <c r="B2138" i="2"/>
  <c r="B2134" i="2"/>
  <c r="B2130" i="2"/>
  <c r="B2126" i="2"/>
  <c r="B2122" i="2"/>
  <c r="B2118" i="2"/>
  <c r="B2114" i="2"/>
  <c r="B2110" i="2"/>
  <c r="B2106" i="2"/>
  <c r="B2102" i="2"/>
  <c r="B2098" i="2"/>
  <c r="B2094" i="2"/>
  <c r="B2090" i="2"/>
  <c r="B2086" i="2"/>
  <c r="B2082" i="2"/>
  <c r="B2078" i="2"/>
  <c r="B2074" i="2"/>
  <c r="B2070" i="2"/>
  <c r="B2066" i="2"/>
  <c r="B2062" i="2"/>
  <c r="B2058" i="2"/>
  <c r="B2054" i="2"/>
  <c r="B2050" i="2"/>
  <c r="B2046" i="2"/>
  <c r="B2042" i="2"/>
  <c r="B2038" i="2"/>
  <c r="B2034" i="2"/>
  <c r="B2030" i="2"/>
  <c r="B2026" i="2"/>
  <c r="B2022" i="2"/>
  <c r="B2018" i="2"/>
  <c r="B2014" i="2"/>
  <c r="B2010" i="2"/>
  <c r="B2006" i="2"/>
  <c r="B2002" i="2"/>
  <c r="B1998" i="2"/>
  <c r="B1994" i="2"/>
  <c r="B1990" i="2"/>
  <c r="B1986" i="2"/>
  <c r="B1982" i="2"/>
  <c r="B1978" i="2"/>
  <c r="B1974" i="2"/>
  <c r="B1970" i="2"/>
  <c r="B1966" i="2"/>
  <c r="B1962" i="2"/>
  <c r="B1958" i="2"/>
  <c r="B1954" i="2"/>
  <c r="B1950" i="2"/>
  <c r="B1946" i="2"/>
  <c r="B1942" i="2"/>
  <c r="B1938" i="2"/>
  <c r="B1934" i="2"/>
  <c r="B1930" i="2"/>
  <c r="B1926" i="2"/>
  <c r="B1922" i="2"/>
  <c r="B1918" i="2"/>
  <c r="B1914" i="2"/>
  <c r="B1910" i="2"/>
  <c r="B1906" i="2"/>
  <c r="B1902" i="2"/>
  <c r="B1898" i="2"/>
  <c r="B1894" i="2"/>
  <c r="B1890" i="2"/>
  <c r="B1886" i="2"/>
  <c r="B1882" i="2"/>
  <c r="B1878" i="2"/>
  <c r="B1874" i="2"/>
  <c r="B1870" i="2"/>
  <c r="B1866" i="2"/>
  <c r="B1862" i="2"/>
  <c r="B1858" i="2"/>
  <c r="B1854" i="2"/>
  <c r="B1850" i="2"/>
  <c r="B1846" i="2"/>
  <c r="B1842" i="2"/>
  <c r="B1838" i="2"/>
  <c r="B1834" i="2"/>
  <c r="B1830" i="2"/>
  <c r="B1826" i="2"/>
  <c r="B1822" i="2"/>
  <c r="B1818" i="2"/>
  <c r="B1814" i="2"/>
  <c r="B1810" i="2"/>
  <c r="B1806" i="2"/>
  <c r="B1802" i="2"/>
  <c r="B1798" i="2"/>
  <c r="B1794" i="2"/>
  <c r="B1790" i="2"/>
  <c r="B1786" i="2"/>
  <c r="B1782" i="2"/>
  <c r="B1778" i="2"/>
  <c r="B1774" i="2"/>
  <c r="B1770" i="2"/>
  <c r="B1766" i="2"/>
  <c r="B1762" i="2"/>
  <c r="B1758" i="2"/>
  <c r="B1754" i="2"/>
  <c r="B1750" i="2"/>
  <c r="B1746" i="2"/>
  <c r="B1742" i="2"/>
  <c r="B1738" i="2"/>
  <c r="B1734" i="2"/>
  <c r="B1730" i="2"/>
  <c r="B1726" i="2"/>
  <c r="B1722" i="2"/>
  <c r="B1718" i="2"/>
  <c r="B1714" i="2"/>
  <c r="B1710" i="2"/>
  <c r="B1706" i="2"/>
  <c r="B1702" i="2"/>
  <c r="B1698" i="2"/>
  <c r="B1694" i="2"/>
  <c r="B1690" i="2"/>
  <c r="B1686" i="2"/>
  <c r="B1682" i="2"/>
  <c r="B1678" i="2"/>
  <c r="B1674" i="2"/>
  <c r="B1670" i="2"/>
  <c r="B1666" i="2"/>
  <c r="B1662" i="2"/>
  <c r="B1658" i="2"/>
  <c r="B1654" i="2"/>
  <c r="B1650" i="2"/>
  <c r="B1646" i="2"/>
  <c r="B1642" i="2"/>
  <c r="B1638" i="2"/>
  <c r="B1634" i="2"/>
  <c r="B1630" i="2"/>
  <c r="B1626" i="2"/>
  <c r="B1622" i="2"/>
  <c r="B1618" i="2"/>
  <c r="B1614" i="2"/>
  <c r="B1610" i="2"/>
  <c r="B1606" i="2"/>
  <c r="B1602" i="2"/>
  <c r="B1598" i="2"/>
  <c r="B1594" i="2"/>
  <c r="B1590" i="2"/>
  <c r="B1586" i="2"/>
  <c r="B1582" i="2"/>
  <c r="B1578" i="2"/>
  <c r="B1574" i="2"/>
  <c r="B1570" i="2"/>
  <c r="B1566" i="2"/>
  <c r="B1562" i="2"/>
  <c r="B1558" i="2"/>
  <c r="B1554" i="2"/>
  <c r="B1550" i="2"/>
  <c r="B1546" i="2"/>
  <c r="B1542" i="2"/>
  <c r="B1538" i="2"/>
  <c r="B1534" i="2"/>
  <c r="B1530" i="2"/>
  <c r="B1526" i="2"/>
  <c r="B1522" i="2"/>
  <c r="B1518" i="2"/>
  <c r="B1514" i="2"/>
  <c r="B1510" i="2"/>
  <c r="B1506" i="2"/>
  <c r="B1502" i="2"/>
  <c r="B1498" i="2"/>
  <c r="B1494" i="2"/>
  <c r="B1490" i="2"/>
  <c r="B1486" i="2"/>
  <c r="B1482" i="2"/>
  <c r="B1478" i="2"/>
  <c r="B1474" i="2"/>
  <c r="B1470" i="2"/>
  <c r="B1466" i="2"/>
  <c r="B1462" i="2"/>
  <c r="B1458" i="2"/>
  <c r="B1454" i="2"/>
  <c r="B1450" i="2"/>
  <c r="B1446" i="2"/>
  <c r="B1442" i="2"/>
  <c r="B1438" i="2"/>
  <c r="B1434" i="2"/>
  <c r="B1430" i="2"/>
  <c r="B1426" i="2"/>
  <c r="B1422" i="2"/>
  <c r="B1418" i="2"/>
  <c r="B1414" i="2"/>
  <c r="B1410" i="2"/>
  <c r="B1406" i="2"/>
  <c r="B1402" i="2"/>
  <c r="B1398" i="2"/>
  <c r="B1394" i="2"/>
  <c r="B1390" i="2"/>
  <c r="B1386" i="2"/>
  <c r="B1382" i="2"/>
  <c r="B1378" i="2"/>
  <c r="B1374" i="2"/>
  <c r="B1370" i="2"/>
  <c r="B1366" i="2"/>
  <c r="B1362" i="2"/>
  <c r="B1358" i="2"/>
  <c r="B1354" i="2"/>
  <c r="B1350" i="2"/>
  <c r="B1346" i="2"/>
  <c r="B1342" i="2"/>
  <c r="B1338" i="2"/>
  <c r="B1334" i="2"/>
  <c r="B1330" i="2"/>
  <c r="B1326" i="2"/>
  <c r="B1322" i="2"/>
  <c r="B1318" i="2"/>
  <c r="B1314" i="2"/>
  <c r="B1310" i="2"/>
  <c r="B1306" i="2"/>
  <c r="B1302" i="2"/>
  <c r="B1298" i="2"/>
  <c r="B1294" i="2"/>
  <c r="B1290" i="2"/>
  <c r="B1286" i="2"/>
  <c r="B1282" i="2"/>
  <c r="B1278" i="2"/>
  <c r="B1274" i="2"/>
  <c r="B1270" i="2"/>
  <c r="B1266" i="2"/>
  <c r="B1262" i="2"/>
  <c r="B1258" i="2"/>
  <c r="B1254" i="2"/>
  <c r="B1250" i="2"/>
  <c r="B1246" i="2"/>
  <c r="B1242" i="2"/>
  <c r="B1238" i="2"/>
  <c r="B1234" i="2"/>
  <c r="B1230" i="2"/>
  <c r="B1226" i="2"/>
  <c r="B1222" i="2"/>
  <c r="B1218" i="2"/>
  <c r="B1214" i="2"/>
  <c r="B1210" i="2"/>
  <c r="B1206" i="2"/>
  <c r="B1202" i="2"/>
  <c r="B1198" i="2"/>
  <c r="B1194" i="2"/>
  <c r="B1190" i="2"/>
  <c r="B1186" i="2"/>
  <c r="B1182" i="2"/>
  <c r="B1178" i="2"/>
  <c r="B1174" i="2"/>
  <c r="B1170" i="2"/>
  <c r="B1166" i="2"/>
  <c r="B1162" i="2"/>
  <c r="B1158" i="2"/>
  <c r="B1154" i="2"/>
  <c r="B1150" i="2"/>
  <c r="B1146" i="2"/>
  <c r="B1142" i="2"/>
  <c r="B1138" i="2"/>
  <c r="B1134" i="2"/>
  <c r="B1130" i="2"/>
  <c r="B1126" i="2"/>
  <c r="B1122" i="2"/>
  <c r="B1118" i="2"/>
  <c r="B1114" i="2"/>
  <c r="B1110" i="2"/>
  <c r="B1106" i="2"/>
  <c r="B1102" i="2"/>
  <c r="B1098" i="2"/>
  <c r="B1094" i="2"/>
  <c r="B1090" i="2"/>
  <c r="B1086" i="2"/>
  <c r="B1082" i="2"/>
  <c r="B1078" i="2"/>
  <c r="B1074" i="2"/>
  <c r="B1070" i="2"/>
  <c r="B1066" i="2"/>
  <c r="B1062" i="2"/>
  <c r="B1058" i="2"/>
  <c r="B1054" i="2"/>
  <c r="B1050" i="2"/>
  <c r="B1046" i="2"/>
  <c r="B1042" i="2"/>
  <c r="B1038" i="2"/>
  <c r="B1034" i="2"/>
  <c r="B1030" i="2"/>
  <c r="B1026" i="2"/>
  <c r="B1022" i="2"/>
  <c r="B1018" i="2"/>
  <c r="B1014" i="2"/>
  <c r="B1010" i="2"/>
  <c r="B1006" i="2"/>
  <c r="B1002" i="2"/>
  <c r="B998" i="2"/>
  <c r="B994" i="2"/>
  <c r="B990" i="2"/>
  <c r="B986" i="2"/>
  <c r="B982" i="2"/>
  <c r="B978" i="2"/>
  <c r="B974" i="2"/>
  <c r="B970" i="2"/>
  <c r="B966" i="2"/>
  <c r="B962" i="2"/>
  <c r="B958" i="2"/>
  <c r="B954" i="2"/>
  <c r="B950" i="2"/>
  <c r="B946" i="2"/>
  <c r="B942" i="2"/>
  <c r="B938" i="2"/>
  <c r="B934" i="2"/>
  <c r="B930" i="2"/>
  <c r="B926" i="2"/>
  <c r="B922" i="2"/>
  <c r="B918" i="2"/>
  <c r="B914" i="2"/>
  <c r="B910" i="2"/>
  <c r="B906" i="2"/>
  <c r="B902" i="2"/>
  <c r="B898" i="2"/>
  <c r="B894" i="2"/>
  <c r="B890" i="2"/>
  <c r="B886" i="2"/>
  <c r="B882" i="2"/>
  <c r="B878" i="2"/>
  <c r="B874" i="2"/>
  <c r="B870" i="2"/>
  <c r="B866" i="2"/>
  <c r="B862" i="2"/>
  <c r="B858" i="2"/>
  <c r="B854" i="2"/>
  <c r="B850" i="2"/>
  <c r="B846" i="2"/>
  <c r="B842" i="2"/>
  <c r="B838" i="2"/>
  <c r="B834" i="2"/>
  <c r="B830" i="2"/>
  <c r="B826" i="2"/>
  <c r="B822" i="2"/>
  <c r="B818" i="2"/>
  <c r="B814" i="2"/>
  <c r="B810" i="2"/>
  <c r="B806" i="2"/>
  <c r="B802" i="2"/>
  <c r="B798" i="2"/>
  <c r="B794" i="2"/>
  <c r="B790" i="2"/>
  <c r="B786" i="2"/>
  <c r="B782" i="2"/>
  <c r="B778" i="2"/>
  <c r="B774" i="2"/>
  <c r="B770" i="2"/>
  <c r="B766" i="2"/>
  <c r="B762" i="2"/>
  <c r="B758" i="2"/>
  <c r="B754" i="2"/>
  <c r="B750" i="2"/>
  <c r="B746" i="2"/>
  <c r="B742" i="2"/>
  <c r="B738" i="2"/>
  <c r="B734" i="2"/>
  <c r="B730" i="2"/>
  <c r="B726" i="2"/>
  <c r="B722" i="2"/>
  <c r="B718" i="2"/>
  <c r="B714" i="2"/>
  <c r="B710" i="2"/>
  <c r="B706" i="2"/>
  <c r="B702" i="2"/>
  <c r="B698" i="2"/>
  <c r="B694" i="2"/>
  <c r="B690" i="2"/>
  <c r="B686" i="2"/>
  <c r="B682" i="2"/>
  <c r="B678" i="2"/>
  <c r="B674" i="2"/>
  <c r="B670" i="2"/>
  <c r="B666" i="2"/>
  <c r="B662" i="2"/>
  <c r="B658" i="2"/>
  <c r="B654" i="2"/>
  <c r="B650" i="2"/>
  <c r="B646" i="2"/>
  <c r="B642" i="2"/>
  <c r="B638" i="2"/>
  <c r="B634" i="2"/>
  <c r="B630" i="2"/>
  <c r="B626" i="2"/>
  <c r="B622" i="2"/>
  <c r="B618" i="2"/>
  <c r="B614" i="2"/>
  <c r="B610" i="2"/>
  <c r="B606" i="2"/>
  <c r="B602" i="2"/>
  <c r="B598" i="2"/>
  <c r="B594" i="2"/>
  <c r="B590" i="2"/>
  <c r="B586" i="2"/>
  <c r="B582" i="2"/>
  <c r="B578" i="2"/>
  <c r="B574" i="2"/>
  <c r="B570" i="2"/>
  <c r="B566" i="2"/>
  <c r="B562" i="2"/>
  <c r="B558" i="2"/>
  <c r="B554" i="2"/>
  <c r="B550" i="2"/>
  <c r="B546" i="2"/>
  <c r="B542" i="2"/>
  <c r="B538" i="2"/>
  <c r="B534" i="2"/>
  <c r="B530" i="2"/>
  <c r="B526" i="2"/>
  <c r="B522" i="2"/>
  <c r="B518" i="2"/>
  <c r="B514" i="2"/>
  <c r="B510" i="2"/>
  <c r="B506" i="2"/>
  <c r="B502" i="2"/>
  <c r="B498" i="2"/>
  <c r="B494" i="2"/>
  <c r="B490" i="2"/>
  <c r="B486" i="2"/>
  <c r="B482" i="2"/>
  <c r="B478" i="2"/>
  <c r="B474" i="2"/>
  <c r="B470" i="2"/>
  <c r="B466" i="2"/>
  <c r="B462" i="2"/>
  <c r="B458" i="2"/>
  <c r="B454" i="2"/>
  <c r="B450" i="2"/>
  <c r="B446" i="2"/>
  <c r="B442" i="2"/>
  <c r="B438" i="2"/>
  <c r="B434" i="2"/>
  <c r="B430" i="2"/>
  <c r="B426" i="2"/>
  <c r="B422" i="2"/>
  <c r="B418" i="2"/>
  <c r="B414" i="2"/>
  <c r="B410" i="2"/>
  <c r="B406" i="2"/>
  <c r="B402" i="2"/>
  <c r="B398" i="2"/>
  <c r="B394" i="2"/>
  <c r="B390" i="2"/>
  <c r="B386" i="2"/>
  <c r="B382" i="2"/>
  <c r="B378" i="2"/>
  <c r="B374" i="2"/>
  <c r="B370" i="2"/>
  <c r="B366" i="2"/>
  <c r="B362" i="2"/>
  <c r="B358" i="2"/>
  <c r="B354" i="2"/>
  <c r="B350" i="2"/>
  <c r="B346" i="2"/>
  <c r="B342" i="2"/>
  <c r="B338" i="2"/>
  <c r="B334" i="2"/>
  <c r="B330" i="2"/>
  <c r="B326" i="2"/>
  <c r="B322" i="2"/>
  <c r="B318" i="2"/>
  <c r="B314" i="2"/>
  <c r="B310" i="2"/>
  <c r="B306" i="2"/>
  <c r="B302" i="2"/>
  <c r="B298" i="2"/>
  <c r="B294" i="2"/>
  <c r="B290" i="2"/>
  <c r="B286" i="2"/>
  <c r="B282" i="2"/>
  <c r="B278" i="2"/>
  <c r="B274" i="2"/>
  <c r="B270" i="2"/>
  <c r="B266" i="2"/>
  <c r="B262" i="2"/>
  <c r="B258" i="2"/>
  <c r="B254" i="2"/>
  <c r="B250" i="2"/>
  <c r="B246" i="2"/>
  <c r="B242" i="2"/>
  <c r="B238" i="2"/>
  <c r="B234" i="2"/>
  <c r="B230" i="2"/>
  <c r="B226" i="2"/>
  <c r="B222" i="2"/>
  <c r="B218" i="2"/>
  <c r="B214" i="2"/>
  <c r="B210" i="2"/>
  <c r="B206" i="2"/>
  <c r="B202" i="2"/>
  <c r="B198" i="2"/>
  <c r="B194" i="2"/>
  <c r="B190" i="2"/>
  <c r="B186" i="2"/>
  <c r="B182" i="2"/>
  <c r="B178" i="2"/>
  <c r="B174" i="2"/>
  <c r="B170" i="2"/>
  <c r="B166" i="2"/>
  <c r="B162" i="2"/>
  <c r="B158" i="2"/>
  <c r="B154" i="2"/>
  <c r="B150" i="2"/>
  <c r="B146" i="2"/>
  <c r="B142" i="2"/>
  <c r="B138" i="2"/>
  <c r="B134" i="2"/>
  <c r="B130" i="2"/>
  <c r="B126" i="2"/>
  <c r="B122" i="2"/>
  <c r="B118" i="2"/>
  <c r="B114" i="2"/>
  <c r="B110" i="2"/>
  <c r="B106" i="2"/>
  <c r="B102" i="2"/>
  <c r="B98" i="2"/>
  <c r="B94" i="2"/>
  <c r="B90" i="2"/>
  <c r="B86" i="2"/>
  <c r="B82" i="2"/>
  <c r="B78" i="2"/>
  <c r="B74" i="2"/>
  <c r="B70" i="2"/>
  <c r="B66" i="2"/>
  <c r="B62" i="2"/>
  <c r="B58" i="2"/>
  <c r="B54" i="2"/>
  <c r="B50" i="2"/>
  <c r="B46" i="2"/>
  <c r="B42" i="2"/>
  <c r="B38" i="2"/>
  <c r="B34" i="2"/>
  <c r="B30" i="2"/>
  <c r="B26" i="2"/>
  <c r="B22" i="2"/>
  <c r="B18" i="2"/>
  <c r="B14" i="2"/>
  <c r="B10" i="2"/>
  <c r="B6" i="2"/>
  <c r="B4791" i="2"/>
  <c r="B4780" i="2"/>
  <c r="B4771" i="2"/>
  <c r="B4759" i="2"/>
  <c r="B4748" i="2"/>
  <c r="B4739" i="2"/>
  <c r="B4727" i="2"/>
  <c r="B4716" i="2"/>
  <c r="B4707" i="2"/>
  <c r="B4695" i="2"/>
  <c r="B4684" i="2"/>
  <c r="B4675" i="2"/>
  <c r="B4663" i="2"/>
  <c r="B4652" i="2"/>
  <c r="B4643" i="2"/>
  <c r="B4631" i="2"/>
  <c r="B4620" i="2"/>
  <c r="B4611" i="2"/>
  <c r="B4599" i="2"/>
  <c r="B4588" i="2"/>
  <c r="B4579" i="2"/>
  <c r="B4567" i="2"/>
  <c r="B4556" i="2"/>
  <c r="B4547" i="2"/>
  <c r="B4535" i="2"/>
  <c r="B4524" i="2"/>
  <c r="B4515" i="2"/>
  <c r="B4503" i="2"/>
  <c r="B4492" i="2"/>
  <c r="B4483" i="2"/>
  <c r="B4471" i="2"/>
  <c r="B4460" i="2"/>
  <c r="B4451" i="2"/>
  <c r="B4439" i="2"/>
  <c r="B4428" i="2"/>
  <c r="B4419" i="2"/>
  <c r="B4407" i="2"/>
  <c r="B4396" i="2"/>
  <c r="B4387" i="2"/>
  <c r="B4375" i="2"/>
  <c r="B4364" i="2"/>
  <c r="B4355" i="2"/>
  <c r="B4343" i="2"/>
  <c r="B4332" i="2"/>
  <c r="B4323" i="2"/>
  <c r="B4311" i="2"/>
  <c r="B4300" i="2"/>
  <c r="B4291" i="2"/>
  <c r="B4279" i="2"/>
  <c r="B4268" i="2"/>
  <c r="B4259" i="2"/>
  <c r="B4247" i="2"/>
  <c r="B4236" i="2"/>
  <c r="B4227" i="2"/>
  <c r="B4215" i="2"/>
  <c r="B4204" i="2"/>
  <c r="B4195" i="2"/>
  <c r="B4183" i="2"/>
  <c r="B4172" i="2"/>
  <c r="B4163" i="2"/>
  <c r="B4151" i="2"/>
  <c r="B4140" i="2"/>
  <c r="B4131" i="2"/>
  <c r="B4119" i="2"/>
  <c r="B4108" i="2"/>
  <c r="B4099" i="2"/>
  <c r="B4087" i="2"/>
  <c r="B4076" i="2"/>
  <c r="B4067" i="2"/>
  <c r="B4055" i="2"/>
  <c r="B4044" i="2"/>
  <c r="B4035" i="2"/>
  <c r="B4023" i="2"/>
  <c r="B4012" i="2"/>
  <c r="B4003" i="2"/>
  <c r="B3991" i="2"/>
  <c r="B3980" i="2"/>
  <c r="B3971" i="2"/>
  <c r="B3959" i="2"/>
  <c r="B3948" i="2"/>
  <c r="B3939" i="2"/>
  <c r="B3927" i="2"/>
  <c r="B3916" i="2"/>
  <c r="B3907" i="2"/>
  <c r="B3895" i="2"/>
  <c r="B3884" i="2"/>
  <c r="B3875" i="2"/>
  <c r="B3863" i="2"/>
  <c r="B3852" i="2"/>
  <c r="B3843" i="2"/>
  <c r="B3831" i="2"/>
  <c r="B3820" i="2"/>
  <c r="B3811" i="2"/>
  <c r="B3799" i="2"/>
  <c r="B3788" i="2"/>
  <c r="B3779" i="2"/>
  <c r="B3767" i="2"/>
  <c r="B3756" i="2"/>
  <c r="B3747" i="2"/>
  <c r="B3735" i="2"/>
  <c r="B3724" i="2"/>
  <c r="B3715" i="2"/>
  <c r="B3703" i="2"/>
  <c r="B3692" i="2"/>
  <c r="B3683" i="2"/>
  <c r="B3671" i="2"/>
  <c r="B3660" i="2"/>
  <c r="B3651" i="2"/>
  <c r="B3639" i="2"/>
  <c r="B3628" i="2"/>
  <c r="B3619" i="2"/>
  <c r="B3607" i="2"/>
  <c r="B3596" i="2"/>
  <c r="B3587" i="2"/>
  <c r="B3575" i="2"/>
  <c r="B3564" i="2"/>
  <c r="B3555" i="2"/>
  <c r="B3543" i="2"/>
  <c r="B3532" i="2"/>
  <c r="B3523" i="2"/>
  <c r="B3511" i="2"/>
  <c r="B3500" i="2"/>
  <c r="B3491" i="2"/>
  <c r="B3479" i="2"/>
  <c r="B3468" i="2"/>
  <c r="B3459" i="2"/>
  <c r="B3447" i="2"/>
  <c r="B3436" i="2"/>
  <c r="B3427" i="2"/>
  <c r="B3415" i="2"/>
  <c r="B3404" i="2"/>
  <c r="B3395" i="2"/>
  <c r="B3383" i="2"/>
  <c r="B3372" i="2"/>
  <c r="B3363" i="2"/>
  <c r="B3351" i="2"/>
  <c r="B3340" i="2"/>
  <c r="B3331" i="2"/>
  <c r="B3319" i="2"/>
  <c r="B3308" i="2"/>
  <c r="B3299" i="2"/>
  <c r="B3287" i="2"/>
  <c r="B3276" i="2"/>
  <c r="B3267" i="2"/>
  <c r="B3255" i="2"/>
  <c r="B3244" i="2"/>
  <c r="B3235" i="2"/>
  <c r="B3223" i="2"/>
  <c r="B3212" i="2"/>
  <c r="B3203" i="2"/>
  <c r="B3191" i="2"/>
  <c r="B3180" i="2"/>
  <c r="B3171" i="2"/>
  <c r="B3159" i="2"/>
  <c r="B3148" i="2"/>
  <c r="B3139" i="2"/>
  <c r="B3127" i="2"/>
  <c r="B3116" i="2"/>
  <c r="B3107" i="2"/>
  <c r="B3095" i="2"/>
  <c r="B3084" i="2"/>
  <c r="B3075" i="2"/>
  <c r="B3063" i="2"/>
  <c r="B3052" i="2"/>
  <c r="B3043" i="2"/>
  <c r="B3031" i="2"/>
  <c r="B3020" i="2"/>
  <c r="B3011" i="2"/>
  <c r="B2999" i="2"/>
  <c r="B2988" i="2"/>
  <c r="B2979" i="2"/>
  <c r="B2967" i="2"/>
  <c r="B2956" i="2"/>
  <c r="B2947" i="2"/>
  <c r="B2935" i="2"/>
  <c r="B2924" i="2"/>
  <c r="B2915" i="2"/>
  <c r="B2903" i="2"/>
  <c r="B2892" i="2"/>
  <c r="B2883" i="2"/>
  <c r="B2871" i="2"/>
  <c r="B2860" i="2"/>
  <c r="B2851" i="2"/>
  <c r="B2839" i="2"/>
  <c r="B2828" i="2"/>
  <c r="B2819" i="2"/>
  <c r="B2807" i="2"/>
  <c r="B2796" i="2"/>
  <c r="B2787" i="2"/>
  <c r="B2775" i="2"/>
  <c r="B2764" i="2"/>
  <c r="B2755" i="2"/>
  <c r="B2743" i="2"/>
  <c r="B2732" i="2"/>
  <c r="B2723" i="2"/>
  <c r="B2711" i="2"/>
  <c r="B2700" i="2"/>
  <c r="B2691" i="2"/>
  <c r="B2679" i="2"/>
  <c r="B2668" i="2"/>
  <c r="B2659" i="2"/>
  <c r="B2647" i="2"/>
  <c r="B2636" i="2"/>
  <c r="B2627" i="2"/>
  <c r="B2615" i="2"/>
  <c r="B2604" i="2"/>
  <c r="B2595" i="2"/>
  <c r="B2583" i="2"/>
  <c r="B2572" i="2"/>
  <c r="B2563" i="2"/>
  <c r="B2551" i="2"/>
  <c r="B2540" i="2"/>
  <c r="B2531" i="2"/>
  <c r="B2519" i="2"/>
  <c r="B2508" i="2"/>
  <c r="B2499" i="2"/>
  <c r="B2487" i="2"/>
  <c r="B2476" i="2"/>
  <c r="B2467" i="2"/>
  <c r="B2455" i="2"/>
  <c r="B2444" i="2"/>
  <c r="B2435" i="2"/>
  <c r="B2423" i="2"/>
  <c r="B2412" i="2"/>
  <c r="B2405" i="2"/>
  <c r="B2397" i="2"/>
  <c r="B2391" i="2"/>
  <c r="B2384" i="2"/>
  <c r="B2376" i="2"/>
  <c r="B2369" i="2"/>
  <c r="B2363" i="2"/>
  <c r="B2355" i="2"/>
  <c r="B2348" i="2"/>
  <c r="B2341" i="2"/>
  <c r="B2333" i="2"/>
  <c r="B2327" i="2"/>
  <c r="B2320" i="2"/>
  <c r="B2313" i="2"/>
  <c r="B2308" i="2"/>
  <c r="B2303" i="2"/>
  <c r="B2297" i="2"/>
  <c r="B2292" i="2"/>
  <c r="B2287" i="2"/>
  <c r="B2281" i="2"/>
  <c r="B2276" i="2"/>
  <c r="B2271" i="2"/>
  <c r="B2265" i="2"/>
  <c r="B2260" i="2"/>
  <c r="B2255" i="2"/>
  <c r="B2249" i="2"/>
  <c r="B2244" i="2"/>
  <c r="B2239" i="2"/>
  <c r="B2233" i="2"/>
  <c r="B2228" i="2"/>
  <c r="B2223" i="2"/>
  <c r="B2217" i="2"/>
  <c r="B2212" i="2"/>
  <c r="B2207" i="2"/>
  <c r="B2201" i="2"/>
  <c r="B2196" i="2"/>
  <c r="B2191" i="2"/>
  <c r="B2185" i="2"/>
  <c r="B2180" i="2"/>
  <c r="B2175" i="2"/>
  <c r="B2169" i="2"/>
  <c r="B2164" i="2"/>
  <c r="B2159" i="2"/>
  <c r="B2153" i="2"/>
  <c r="B2148" i="2"/>
  <c r="B2143" i="2"/>
  <c r="B2137" i="2"/>
  <c r="B2132" i="2"/>
  <c r="B2127" i="2"/>
  <c r="B2121" i="2"/>
  <c r="B2116" i="2"/>
  <c r="B2111" i="2"/>
  <c r="B2105" i="2"/>
  <c r="B2100" i="2"/>
  <c r="B2095" i="2"/>
  <c r="B2089" i="2"/>
  <c r="B2084" i="2"/>
  <c r="B2079" i="2"/>
  <c r="B2073" i="2"/>
  <c r="B2068" i="2"/>
  <c r="B2063" i="2"/>
  <c r="B2057" i="2"/>
  <c r="B2052" i="2"/>
  <c r="B2047" i="2"/>
  <c r="B2041" i="2"/>
  <c r="B2036" i="2"/>
  <c r="B2031" i="2"/>
  <c r="B2025" i="2"/>
  <c r="B2020" i="2"/>
  <c r="B2015" i="2"/>
  <c r="B2009" i="2"/>
  <c r="B2004" i="2"/>
  <c r="B1999" i="2"/>
  <c r="B1993" i="2"/>
  <c r="B1988" i="2"/>
  <c r="B1983" i="2"/>
  <c r="B1977" i="2"/>
  <c r="B1972" i="2"/>
  <c r="B1967" i="2"/>
  <c r="B1961" i="2"/>
  <c r="B1956" i="2"/>
  <c r="B1951" i="2"/>
  <c r="B1945" i="2"/>
  <c r="B1940" i="2"/>
  <c r="B1935" i="2"/>
  <c r="B1929" i="2"/>
  <c r="B1924" i="2"/>
  <c r="B1919" i="2"/>
  <c r="B1913" i="2"/>
  <c r="B1908" i="2"/>
  <c r="B1903" i="2"/>
  <c r="B1897" i="2"/>
  <c r="B1892" i="2"/>
  <c r="B1887" i="2"/>
  <c r="B1881" i="2"/>
  <c r="B1876" i="2"/>
  <c r="B1871" i="2"/>
  <c r="B1865" i="2"/>
  <c r="B1860" i="2"/>
  <c r="B1855" i="2"/>
  <c r="B1849" i="2"/>
  <c r="B1844" i="2"/>
  <c r="B1839" i="2"/>
  <c r="B1833" i="2"/>
  <c r="B1828" i="2"/>
  <c r="B1823" i="2"/>
  <c r="B1817" i="2"/>
  <c r="B1812" i="2"/>
  <c r="B1807" i="2"/>
  <c r="B1801" i="2"/>
  <c r="B1796" i="2"/>
  <c r="B1791" i="2"/>
  <c r="B1785" i="2"/>
  <c r="B1780" i="2"/>
  <c r="B1775" i="2"/>
  <c r="B1769" i="2"/>
  <c r="B1764" i="2"/>
  <c r="B1759" i="2"/>
  <c r="B1753" i="2"/>
  <c r="B1748" i="2"/>
  <c r="B1743" i="2"/>
  <c r="B1737" i="2"/>
  <c r="B1732" i="2"/>
  <c r="B1727" i="2"/>
  <c r="B1721" i="2"/>
  <c r="B1716" i="2"/>
  <c r="B1711" i="2"/>
  <c r="B1705" i="2"/>
  <c r="B1700" i="2"/>
  <c r="B1695" i="2"/>
  <c r="B1689" i="2"/>
  <c r="B1684" i="2"/>
  <c r="B1679" i="2"/>
  <c r="B1673" i="2"/>
  <c r="B1668" i="2"/>
  <c r="B1663" i="2"/>
  <c r="B1657" i="2"/>
  <c r="B1652" i="2"/>
  <c r="B1647" i="2"/>
  <c r="B1641" i="2"/>
  <c r="B1636" i="2"/>
  <c r="B1631" i="2"/>
  <c r="B1625" i="2"/>
  <c r="B1620" i="2"/>
  <c r="B1615" i="2"/>
  <c r="B1609" i="2"/>
  <c r="B1604" i="2"/>
  <c r="B1599" i="2"/>
  <c r="B1593" i="2"/>
  <c r="B1588" i="2"/>
  <c r="B1583" i="2"/>
  <c r="B1577" i="2"/>
  <c r="B1572" i="2"/>
  <c r="B1567" i="2"/>
  <c r="B1561" i="2"/>
  <c r="B1556" i="2"/>
  <c r="B1551" i="2"/>
  <c r="B1545" i="2"/>
  <c r="B1540" i="2"/>
  <c r="B1535" i="2"/>
  <c r="B1529" i="2"/>
  <c r="B1524" i="2"/>
  <c r="B1519" i="2"/>
  <c r="B1513" i="2"/>
  <c r="B1508" i="2"/>
  <c r="B1503" i="2"/>
  <c r="B1497" i="2"/>
  <c r="B1492" i="2"/>
  <c r="B1487" i="2"/>
  <c r="B1481" i="2"/>
  <c r="B1476" i="2"/>
  <c r="B1471" i="2"/>
  <c r="B1465" i="2"/>
  <c r="B1460" i="2"/>
  <c r="B1455" i="2"/>
  <c r="B1449" i="2"/>
  <c r="B1444" i="2"/>
  <c r="B1439" i="2"/>
  <c r="B1433" i="2"/>
  <c r="B1428" i="2"/>
  <c r="B1423" i="2"/>
  <c r="B1417" i="2"/>
  <c r="B1412" i="2"/>
  <c r="B1407" i="2"/>
  <c r="B1401" i="2"/>
  <c r="B1396" i="2"/>
  <c r="B1391" i="2"/>
  <c r="B1385" i="2"/>
  <c r="B1380" i="2"/>
  <c r="B1375" i="2"/>
  <c r="B1369" i="2"/>
  <c r="B1364" i="2"/>
  <c r="B1359" i="2"/>
  <c r="B1353" i="2"/>
  <c r="B1348" i="2"/>
  <c r="B1343" i="2"/>
  <c r="B1337" i="2"/>
  <c r="B1332" i="2"/>
  <c r="B1327" i="2"/>
  <c r="B1321" i="2"/>
  <c r="B1316" i="2"/>
  <c r="B1311" i="2"/>
  <c r="B1305" i="2"/>
  <c r="B1300" i="2"/>
  <c r="B1295" i="2"/>
  <c r="B1289" i="2"/>
  <c r="B1284" i="2"/>
  <c r="B1279" i="2"/>
  <c r="B1273" i="2"/>
  <c r="B1268" i="2"/>
  <c r="B1263" i="2"/>
  <c r="B1257" i="2"/>
  <c r="B1252" i="2"/>
  <c r="B1247" i="2"/>
  <c r="B1241" i="2"/>
  <c r="B1236" i="2"/>
  <c r="B1231" i="2"/>
  <c r="B1225" i="2"/>
  <c r="B1220" i="2"/>
  <c r="B1215" i="2"/>
  <c r="B1209" i="2"/>
  <c r="B1204" i="2"/>
  <c r="B1199" i="2"/>
  <c r="B1193" i="2"/>
  <c r="B1188" i="2"/>
  <c r="B1183" i="2"/>
  <c r="B1177" i="2"/>
  <c r="B1172" i="2"/>
  <c r="B1167" i="2"/>
  <c r="B1161" i="2"/>
  <c r="B1156" i="2"/>
  <c r="B1151" i="2"/>
  <c r="B1145" i="2"/>
  <c r="B1140" i="2"/>
  <c r="B1135" i="2"/>
  <c r="B1129" i="2"/>
  <c r="B1124" i="2"/>
  <c r="B1119" i="2"/>
  <c r="B1113" i="2"/>
  <c r="B1108" i="2"/>
  <c r="B1103" i="2"/>
  <c r="B1097" i="2"/>
  <c r="B1092" i="2"/>
  <c r="B1087" i="2"/>
  <c r="B1081" i="2"/>
  <c r="B1076" i="2"/>
  <c r="B1071" i="2"/>
  <c r="B1065" i="2"/>
  <c r="B1060" i="2"/>
  <c r="B1055" i="2"/>
  <c r="B1049" i="2"/>
  <c r="B1044" i="2"/>
  <c r="B1039" i="2"/>
  <c r="B1033" i="2"/>
  <c r="B1028" i="2"/>
  <c r="B1023" i="2"/>
  <c r="B1017" i="2"/>
  <c r="B1012" i="2"/>
  <c r="B1007" i="2"/>
  <c r="B1001" i="2"/>
  <c r="B996" i="2"/>
  <c r="B991" i="2"/>
  <c r="B985" i="2"/>
  <c r="B980" i="2"/>
  <c r="B975" i="2"/>
  <c r="B969" i="2"/>
  <c r="B964" i="2"/>
  <c r="B959" i="2"/>
  <c r="B953" i="2"/>
  <c r="B948" i="2"/>
  <c r="B943" i="2"/>
  <c r="B937" i="2"/>
  <c r="B932" i="2"/>
  <c r="B927" i="2"/>
  <c r="B921" i="2"/>
  <c r="B916" i="2"/>
  <c r="B911" i="2"/>
  <c r="B905" i="2"/>
  <c r="B900" i="2"/>
  <c r="B895" i="2"/>
  <c r="B889" i="2"/>
  <c r="B884" i="2"/>
  <c r="B879" i="2"/>
  <c r="B873" i="2"/>
  <c r="B868" i="2"/>
  <c r="B863" i="2"/>
  <c r="B857" i="2"/>
  <c r="B852" i="2"/>
  <c r="B847" i="2"/>
  <c r="B841" i="2"/>
  <c r="B836" i="2"/>
  <c r="B831" i="2"/>
  <c r="B825" i="2"/>
  <c r="B820" i="2"/>
  <c r="B815" i="2"/>
  <c r="B809" i="2"/>
  <c r="B804" i="2"/>
  <c r="B799" i="2"/>
  <c r="B793" i="2"/>
  <c r="B788" i="2"/>
  <c r="B783" i="2"/>
  <c r="B777" i="2"/>
  <c r="B772" i="2"/>
  <c r="B767" i="2"/>
  <c r="B761" i="2"/>
  <c r="B756" i="2"/>
  <c r="B751" i="2"/>
  <c r="B745" i="2"/>
  <c r="B740" i="2"/>
  <c r="B735" i="2"/>
  <c r="B729" i="2"/>
  <c r="B724" i="2"/>
  <c r="B719" i="2"/>
  <c r="B713" i="2"/>
  <c r="B708" i="2"/>
  <c r="B703" i="2"/>
  <c r="B697" i="2"/>
  <c r="B692" i="2"/>
  <c r="B687" i="2"/>
  <c r="B681" i="2"/>
  <c r="B676" i="2"/>
  <c r="B671" i="2"/>
  <c r="B665" i="2"/>
  <c r="B660" i="2"/>
  <c r="B655" i="2"/>
  <c r="B649" i="2"/>
  <c r="B644" i="2"/>
  <c r="B639" i="2"/>
  <c r="B633" i="2"/>
  <c r="B628" i="2"/>
  <c r="B623" i="2"/>
  <c r="B617" i="2"/>
  <c r="B612" i="2"/>
  <c r="B607" i="2"/>
  <c r="B601" i="2"/>
  <c r="B596" i="2"/>
  <c r="B591" i="2"/>
  <c r="B585" i="2"/>
  <c r="B580" i="2"/>
  <c r="B575" i="2"/>
  <c r="B569" i="2"/>
  <c r="B564" i="2"/>
  <c r="B559" i="2"/>
  <c r="B553" i="2"/>
  <c r="B548" i="2"/>
  <c r="B543" i="2"/>
  <c r="B537" i="2"/>
  <c r="B532" i="2"/>
  <c r="B527" i="2"/>
  <c r="B521" i="2"/>
  <c r="B516" i="2"/>
  <c r="B511" i="2"/>
  <c r="B505" i="2"/>
  <c r="B500" i="2"/>
  <c r="B495" i="2"/>
  <c r="B489" i="2"/>
  <c r="B484" i="2"/>
  <c r="B479" i="2"/>
  <c r="B473" i="2"/>
  <c r="B468" i="2"/>
  <c r="B463" i="2"/>
  <c r="B457" i="2"/>
  <c r="B452" i="2"/>
  <c r="B447" i="2"/>
  <c r="B441" i="2"/>
  <c r="B436" i="2"/>
  <c r="B431" i="2"/>
  <c r="B425" i="2"/>
  <c r="B420" i="2"/>
  <c r="B415" i="2"/>
  <c r="B409" i="2"/>
  <c r="B404" i="2"/>
  <c r="B399" i="2"/>
  <c r="B393" i="2"/>
  <c r="B388" i="2"/>
  <c r="B383" i="2"/>
  <c r="B377" i="2"/>
  <c r="B372" i="2"/>
  <c r="B367" i="2"/>
  <c r="B361" i="2"/>
  <c r="B356" i="2"/>
  <c r="B351" i="2"/>
  <c r="B345" i="2"/>
  <c r="B340" i="2"/>
  <c r="B335" i="2"/>
  <c r="B329" i="2"/>
  <c r="B324" i="2"/>
  <c r="B319" i="2"/>
  <c r="B313" i="2"/>
  <c r="B308" i="2"/>
  <c r="B303" i="2"/>
  <c r="B297" i="2"/>
  <c r="B292" i="2"/>
  <c r="B287" i="2"/>
  <c r="B281" i="2"/>
  <c r="B276" i="2"/>
  <c r="B271" i="2"/>
  <c r="B265" i="2"/>
  <c r="B260" i="2"/>
  <c r="B255" i="2"/>
  <c r="B249" i="2"/>
  <c r="B244" i="2"/>
  <c r="B239" i="2"/>
  <c r="B233" i="2"/>
  <c r="B228" i="2"/>
  <c r="B223" i="2"/>
  <c r="B217" i="2"/>
  <c r="B212" i="2"/>
  <c r="B207" i="2"/>
  <c r="B201" i="2"/>
  <c r="B196" i="2"/>
  <c r="B191" i="2"/>
  <c r="B185" i="2"/>
  <c r="B180" i="2"/>
  <c r="B175" i="2"/>
  <c r="B169" i="2"/>
  <c r="B164" i="2"/>
  <c r="B159" i="2"/>
  <c r="B153" i="2"/>
  <c r="B148" i="2"/>
  <c r="B143" i="2"/>
  <c r="B137" i="2"/>
  <c r="B132" i="2"/>
  <c r="B127" i="2"/>
  <c r="B121" i="2"/>
  <c r="B116" i="2"/>
  <c r="B111" i="2"/>
  <c r="B105" i="2"/>
  <c r="B100" i="2"/>
  <c r="B95" i="2"/>
  <c r="B89" i="2"/>
  <c r="B84" i="2"/>
  <c r="B79" i="2"/>
  <c r="B73" i="2"/>
  <c r="B68" i="2"/>
  <c r="B63" i="2"/>
  <c r="B57" i="2"/>
  <c r="B52" i="2"/>
  <c r="B47" i="2"/>
  <c r="B41" i="2"/>
  <c r="B36" i="2"/>
  <c r="B31" i="2"/>
  <c r="B25" i="2"/>
  <c r="B20" i="2"/>
  <c r="B15" i="2"/>
  <c r="B9" i="2"/>
  <c r="B4" i="2"/>
  <c r="B3251" i="2"/>
  <c r="B4799" i="2"/>
  <c r="B4788" i="2"/>
  <c r="B4779" i="2"/>
  <c r="B4767" i="2"/>
  <c r="B4756" i="2"/>
  <c r="B4747" i="2"/>
  <c r="B4735" i="2"/>
  <c r="B4724" i="2"/>
  <c r="B4715" i="2"/>
  <c r="B4703" i="2"/>
  <c r="B4692" i="2"/>
  <c r="B4683" i="2"/>
  <c r="B4671" i="2"/>
  <c r="B4660" i="2"/>
  <c r="B4651" i="2"/>
  <c r="B4639" i="2"/>
  <c r="B4628" i="2"/>
  <c r="B4619" i="2"/>
  <c r="B4607" i="2"/>
  <c r="B4596" i="2"/>
  <c r="B4587" i="2"/>
  <c r="B4575" i="2"/>
  <c r="B4564" i="2"/>
  <c r="B4555" i="2"/>
  <c r="B4543" i="2"/>
  <c r="B4532" i="2"/>
  <c r="B4523" i="2"/>
  <c r="B4511" i="2"/>
  <c r="B4500" i="2"/>
  <c r="B4491" i="2"/>
  <c r="B4479" i="2"/>
  <c r="B4468" i="2"/>
  <c r="B4459" i="2"/>
  <c r="B4447" i="2"/>
  <c r="B4436" i="2"/>
  <c r="B4427" i="2"/>
  <c r="B4415" i="2"/>
  <c r="B4404" i="2"/>
  <c r="B4395" i="2"/>
  <c r="B4383" i="2"/>
  <c r="B4372" i="2"/>
  <c r="B4363" i="2"/>
  <c r="B4351" i="2"/>
  <c r="B4340" i="2"/>
  <c r="B4331" i="2"/>
  <c r="B4319" i="2"/>
  <c r="B4308" i="2"/>
  <c r="B4299" i="2"/>
  <c r="B4287" i="2"/>
  <c r="B4276" i="2"/>
  <c r="B4267" i="2"/>
  <c r="B4255" i="2"/>
  <c r="B4244" i="2"/>
  <c r="B4235" i="2"/>
  <c r="B4223" i="2"/>
  <c r="B4212" i="2"/>
  <c r="B4203" i="2"/>
  <c r="B4191" i="2"/>
  <c r="B4180" i="2"/>
  <c r="B4171" i="2"/>
  <c r="B4159" i="2"/>
  <c r="B4148" i="2"/>
  <c r="B4139" i="2"/>
  <c r="B4127" i="2"/>
  <c r="B4116" i="2"/>
  <c r="B4107" i="2"/>
  <c r="B4095" i="2"/>
  <c r="B4084" i="2"/>
  <c r="B4075" i="2"/>
  <c r="B4063" i="2"/>
  <c r="B4052" i="2"/>
  <c r="B4043" i="2"/>
  <c r="B4031" i="2"/>
  <c r="B4020" i="2"/>
  <c r="B4011" i="2"/>
  <c r="B3999" i="2"/>
  <c r="B3988" i="2"/>
  <c r="B3979" i="2"/>
  <c r="B3967" i="2"/>
  <c r="B3956" i="2"/>
  <c r="B3947" i="2"/>
  <c r="B3935" i="2"/>
  <c r="B3924" i="2"/>
  <c r="B3915" i="2"/>
  <c r="B3903" i="2"/>
  <c r="B3892" i="2"/>
  <c r="B3883" i="2"/>
  <c r="B3871" i="2"/>
  <c r="B3860" i="2"/>
  <c r="B3851" i="2"/>
  <c r="B3839" i="2"/>
  <c r="B3828" i="2"/>
  <c r="B3819" i="2"/>
  <c r="B3807" i="2"/>
  <c r="B3796" i="2"/>
  <c r="B3787" i="2"/>
  <c r="B3775" i="2"/>
  <c r="B3764" i="2"/>
  <c r="B3755" i="2"/>
  <c r="B3743" i="2"/>
  <c r="B3732" i="2"/>
  <c r="B3723" i="2"/>
  <c r="B3711" i="2"/>
  <c r="B3700" i="2"/>
  <c r="B3691" i="2"/>
  <c r="B3679" i="2"/>
  <c r="B3668" i="2"/>
  <c r="B3659" i="2"/>
  <c r="B3647" i="2"/>
  <c r="B3636" i="2"/>
  <c r="B3627" i="2"/>
  <c r="B3615" i="2"/>
  <c r="B3604" i="2"/>
  <c r="B3595" i="2"/>
  <c r="B3583" i="2"/>
  <c r="B3572" i="2"/>
  <c r="B3563" i="2"/>
  <c r="B3551" i="2"/>
  <c r="B3540" i="2"/>
  <c r="B3531" i="2"/>
  <c r="B3519" i="2"/>
  <c r="B3508" i="2"/>
  <c r="B3499" i="2"/>
  <c r="B3487" i="2"/>
  <c r="B3476" i="2"/>
  <c r="B3467" i="2"/>
  <c r="B3455" i="2"/>
  <c r="B3444" i="2"/>
  <c r="B3435" i="2"/>
  <c r="B3423" i="2"/>
  <c r="B3412" i="2"/>
  <c r="B3403" i="2"/>
  <c r="B3391" i="2"/>
  <c r="B3380" i="2"/>
  <c r="B3371" i="2"/>
  <c r="B3359" i="2"/>
  <c r="B3348" i="2"/>
  <c r="B3339" i="2"/>
  <c r="B3327" i="2"/>
  <c r="B3316" i="2"/>
  <c r="B3307" i="2"/>
  <c r="B3295" i="2"/>
  <c r="B3284" i="2"/>
  <c r="B3275" i="2"/>
  <c r="B3263" i="2"/>
  <c r="B3252" i="2"/>
  <c r="B3243" i="2"/>
  <c r="B3231" i="2"/>
  <c r="B3220" i="2"/>
  <c r="B3211" i="2"/>
  <c r="B3199" i="2"/>
  <c r="B3188" i="2"/>
  <c r="B3179" i="2"/>
  <c r="B3167" i="2"/>
  <c r="B3156" i="2"/>
  <c r="B3147" i="2"/>
  <c r="B3135" i="2"/>
  <c r="B3124" i="2"/>
  <c r="B3115" i="2"/>
  <c r="B3103" i="2"/>
  <c r="B3092" i="2"/>
  <c r="B3083" i="2"/>
  <c r="B3071" i="2"/>
  <c r="B3060" i="2"/>
  <c r="B3051" i="2"/>
  <c r="B3039" i="2"/>
  <c r="B3028" i="2"/>
  <c r="B3019" i="2"/>
  <c r="B3007" i="2"/>
  <c r="B2996" i="2"/>
  <c r="B2987" i="2"/>
  <c r="B2975" i="2"/>
  <c r="B2964" i="2"/>
  <c r="B2955" i="2"/>
  <c r="B2943" i="2"/>
  <c r="B2932" i="2"/>
  <c r="B2923" i="2"/>
  <c r="B2911" i="2"/>
  <c r="B2900" i="2"/>
  <c r="B2891" i="2"/>
  <c r="B2879" i="2"/>
  <c r="B2868" i="2"/>
  <c r="B2859" i="2"/>
  <c r="B2847" i="2"/>
  <c r="B2836" i="2"/>
  <c r="B2827" i="2"/>
  <c r="B2815" i="2"/>
  <c r="B2804" i="2"/>
  <c r="B2795" i="2"/>
  <c r="B2783" i="2"/>
  <c r="B2772" i="2"/>
  <c r="B2763" i="2"/>
  <c r="B2751" i="2"/>
  <c r="B2740" i="2"/>
  <c r="B2731" i="2"/>
  <c r="B2719" i="2"/>
  <c r="B2708" i="2"/>
  <c r="B2699" i="2"/>
  <c r="B2687" i="2"/>
  <c r="B2676" i="2"/>
  <c r="B2667" i="2"/>
  <c r="B2655" i="2"/>
  <c r="B2644" i="2"/>
  <c r="B2635" i="2"/>
  <c r="B2623" i="2"/>
  <c r="B2612" i="2"/>
  <c r="B2603" i="2"/>
  <c r="B2591" i="2"/>
  <c r="B2580" i="2"/>
  <c r="B2571" i="2"/>
  <c r="B2559" i="2"/>
  <c r="B2548" i="2"/>
  <c r="B2539" i="2"/>
  <c r="B2527" i="2"/>
  <c r="B2516" i="2"/>
  <c r="B2507" i="2"/>
  <c r="B2495" i="2"/>
  <c r="B2484" i="2"/>
  <c r="B2475" i="2"/>
  <c r="B2463" i="2"/>
  <c r="B2452" i="2"/>
  <c r="B2443" i="2"/>
  <c r="B2431" i="2"/>
  <c r="B2420" i="2"/>
  <c r="B2411" i="2"/>
  <c r="B2403" i="2"/>
  <c r="B2396" i="2"/>
  <c r="B2389" i="2"/>
  <c r="B2381" i="2"/>
  <c r="B2375" i="2"/>
  <c r="B2368" i="2"/>
  <c r="B2360" i="2"/>
  <c r="B2353" i="2"/>
  <c r="B2347" i="2"/>
  <c r="B2339" i="2"/>
  <c r="B2332" i="2"/>
  <c r="B2325" i="2"/>
  <c r="B2317" i="2"/>
  <c r="B2312" i="2"/>
  <c r="B2307" i="2"/>
  <c r="B2301" i="2"/>
  <c r="B2296" i="2"/>
  <c r="B2291" i="2"/>
  <c r="B2285" i="2"/>
  <c r="B2280" i="2"/>
  <c r="B2275" i="2"/>
  <c r="B2269" i="2"/>
  <c r="B2264" i="2"/>
  <c r="B2259" i="2"/>
  <c r="B2253" i="2"/>
  <c r="B2248" i="2"/>
  <c r="B2243" i="2"/>
  <c r="B2237" i="2"/>
  <c r="B2232" i="2"/>
  <c r="B2227" i="2"/>
  <c r="B2221" i="2"/>
  <c r="B2216" i="2"/>
  <c r="B2211" i="2"/>
  <c r="B2205" i="2"/>
  <c r="B2200" i="2"/>
  <c r="B2195" i="2"/>
  <c r="B2189" i="2"/>
  <c r="B2184" i="2"/>
  <c r="B2179" i="2"/>
  <c r="B2173" i="2"/>
  <c r="B2168" i="2"/>
  <c r="B2163" i="2"/>
  <c r="B2157" i="2"/>
  <c r="B2152" i="2"/>
  <c r="B2147" i="2"/>
  <c r="B2141" i="2"/>
  <c r="B2136" i="2"/>
  <c r="B2131" i="2"/>
  <c r="B2125" i="2"/>
  <c r="B2120" i="2"/>
  <c r="B2115" i="2"/>
  <c r="B2109" i="2"/>
  <c r="B2104" i="2"/>
  <c r="B2099" i="2"/>
  <c r="B2093" i="2"/>
  <c r="B2088" i="2"/>
  <c r="B2083" i="2"/>
  <c r="B2077" i="2"/>
  <c r="B2072" i="2"/>
  <c r="B2067" i="2"/>
  <c r="B2061" i="2"/>
  <c r="B2056" i="2"/>
  <c r="B2051" i="2"/>
  <c r="B2045" i="2"/>
  <c r="B2040" i="2"/>
  <c r="B2035" i="2"/>
  <c r="B2029" i="2"/>
  <c r="B2024" i="2"/>
  <c r="B2019" i="2"/>
  <c r="B2013" i="2"/>
  <c r="B2008" i="2"/>
  <c r="B2003" i="2"/>
  <c r="B1997" i="2"/>
  <c r="B1992" i="2"/>
  <c r="B1987" i="2"/>
  <c r="B1981" i="2"/>
  <c r="B1976" i="2"/>
  <c r="B1971" i="2"/>
  <c r="B1965" i="2"/>
  <c r="B1960" i="2"/>
  <c r="B1955" i="2"/>
  <c r="B1949" i="2"/>
  <c r="B1944" i="2"/>
  <c r="B1939" i="2"/>
  <c r="B1933" i="2"/>
  <c r="B1928" i="2"/>
  <c r="B1923" i="2"/>
  <c r="B1917" i="2"/>
  <c r="B1912" i="2"/>
  <c r="B1907" i="2"/>
  <c r="B1901" i="2"/>
  <c r="B1896" i="2"/>
  <c r="B1891" i="2"/>
  <c r="B1885" i="2"/>
  <c r="B1880" i="2"/>
  <c r="B1875" i="2"/>
  <c r="B1869" i="2"/>
  <c r="B1864" i="2"/>
  <c r="B1859" i="2"/>
  <c r="B1853" i="2"/>
  <c r="B1848" i="2"/>
  <c r="B1843" i="2"/>
  <c r="B1837" i="2"/>
  <c r="B1832" i="2"/>
  <c r="B1827" i="2"/>
  <c r="B1821" i="2"/>
  <c r="B1816" i="2"/>
  <c r="B1811" i="2"/>
  <c r="B1805" i="2"/>
  <c r="B1800" i="2"/>
  <c r="B1795" i="2"/>
  <c r="B1789" i="2"/>
  <c r="B1784" i="2"/>
  <c r="B1779" i="2"/>
  <c r="B1773" i="2"/>
  <c r="B1768" i="2"/>
  <c r="B1763" i="2"/>
  <c r="B1757" i="2"/>
  <c r="B1752" i="2"/>
  <c r="B1747" i="2"/>
  <c r="B1741" i="2"/>
  <c r="B1736" i="2"/>
  <c r="B1731" i="2"/>
  <c r="B1725" i="2"/>
  <c r="B1720" i="2"/>
  <c r="B1715" i="2"/>
  <c r="B1709" i="2"/>
  <c r="B1704" i="2"/>
  <c r="B1699" i="2"/>
  <c r="B1693" i="2"/>
  <c r="B1688" i="2"/>
  <c r="B1683" i="2"/>
  <c r="B1677" i="2"/>
  <c r="B1672" i="2"/>
  <c r="B1667" i="2"/>
  <c r="B1661" i="2"/>
  <c r="B1656" i="2"/>
  <c r="B1651" i="2"/>
  <c r="B1645" i="2"/>
  <c r="B1640" i="2"/>
  <c r="B1635" i="2"/>
  <c r="B1629" i="2"/>
  <c r="B1624" i="2"/>
  <c r="B1619" i="2"/>
  <c r="B1613" i="2"/>
  <c r="B1608" i="2"/>
  <c r="B1603" i="2"/>
  <c r="B1597" i="2"/>
  <c r="B1592" i="2"/>
  <c r="B1587" i="2"/>
  <c r="B1581" i="2"/>
  <c r="B1576" i="2"/>
  <c r="B1571" i="2"/>
  <c r="B1565" i="2"/>
  <c r="B1560" i="2"/>
  <c r="B1555" i="2"/>
  <c r="B1549" i="2"/>
  <c r="B1544" i="2"/>
  <c r="B1539" i="2"/>
  <c r="B1533" i="2"/>
  <c r="B1528" i="2"/>
  <c r="B1523" i="2"/>
  <c r="B1517" i="2"/>
  <c r="B1512" i="2"/>
  <c r="B1507" i="2"/>
  <c r="B1501" i="2"/>
  <c r="B1496" i="2"/>
  <c r="B1491" i="2"/>
  <c r="B1485" i="2"/>
  <c r="B1480" i="2"/>
  <c r="B1475" i="2"/>
  <c r="B1469" i="2"/>
  <c r="B1464" i="2"/>
  <c r="B1459" i="2"/>
  <c r="B1453" i="2"/>
  <c r="B1448" i="2"/>
  <c r="B1443" i="2"/>
  <c r="B1437" i="2"/>
  <c r="B1432" i="2"/>
  <c r="B1427" i="2"/>
  <c r="B1421" i="2"/>
  <c r="B1416" i="2"/>
  <c r="B1411" i="2"/>
  <c r="B1405" i="2"/>
  <c r="B1400" i="2"/>
  <c r="B1395" i="2"/>
  <c r="B1389" i="2"/>
  <c r="B1384" i="2"/>
  <c r="B1379" i="2"/>
  <c r="B1373" i="2"/>
  <c r="B1368" i="2"/>
  <c r="B1363" i="2"/>
  <c r="B1357" i="2"/>
  <c r="B1352" i="2"/>
  <c r="B1347" i="2"/>
  <c r="B1341" i="2"/>
  <c r="B1336" i="2"/>
  <c r="B1331" i="2"/>
  <c r="B1325" i="2"/>
  <c r="B1320" i="2"/>
  <c r="B1315" i="2"/>
  <c r="B1309" i="2"/>
  <c r="B1304" i="2"/>
  <c r="B1299" i="2"/>
  <c r="B1293" i="2"/>
  <c r="B1288" i="2"/>
  <c r="B1283" i="2"/>
  <c r="B1277" i="2"/>
  <c r="B1272" i="2"/>
  <c r="B1267" i="2"/>
  <c r="B1261" i="2"/>
  <c r="B1256" i="2"/>
  <c r="B1251" i="2"/>
  <c r="B1245" i="2"/>
  <c r="B1240" i="2"/>
  <c r="B1235" i="2"/>
  <c r="B1229" i="2"/>
  <c r="B1224" i="2"/>
  <c r="B1219" i="2"/>
  <c r="B1213" i="2"/>
  <c r="B1208" i="2"/>
  <c r="B1203" i="2"/>
  <c r="B1197" i="2"/>
  <c r="B1192" i="2"/>
  <c r="B1187" i="2"/>
  <c r="B1181" i="2"/>
  <c r="B1176" i="2"/>
  <c r="B1171" i="2"/>
  <c r="B1165" i="2"/>
  <c r="B1160" i="2"/>
  <c r="B1155" i="2"/>
  <c r="B1149" i="2"/>
  <c r="B1144" i="2"/>
  <c r="B1139" i="2"/>
  <c r="B1133" i="2"/>
  <c r="B1128" i="2"/>
  <c r="B1123" i="2"/>
  <c r="B1117" i="2"/>
  <c r="B1112" i="2"/>
  <c r="B1107" i="2"/>
  <c r="B1101" i="2"/>
  <c r="B1096" i="2"/>
  <c r="B1091" i="2"/>
  <c r="B1085" i="2"/>
  <c r="B1080" i="2"/>
  <c r="B1075" i="2"/>
  <c r="B1069" i="2"/>
  <c r="B1064" i="2"/>
  <c r="B1059" i="2"/>
  <c r="B1053" i="2"/>
  <c r="B1048" i="2"/>
  <c r="B1043" i="2"/>
  <c r="B1037" i="2"/>
  <c r="B1032" i="2"/>
  <c r="B1027" i="2"/>
  <c r="B1021" i="2"/>
  <c r="B1016" i="2"/>
  <c r="B1011" i="2"/>
  <c r="B1005" i="2"/>
  <c r="B1000" i="2"/>
  <c r="B995" i="2"/>
  <c r="B989" i="2"/>
  <c r="B984" i="2"/>
  <c r="B979" i="2"/>
  <c r="B973" i="2"/>
  <c r="B968" i="2"/>
  <c r="B963" i="2"/>
  <c r="B957" i="2"/>
  <c r="B952" i="2"/>
  <c r="B947" i="2"/>
  <c r="B941" i="2"/>
  <c r="B936" i="2"/>
  <c r="B931" i="2"/>
  <c r="B925" i="2"/>
  <c r="B920" i="2"/>
  <c r="B915" i="2"/>
  <c r="B909" i="2"/>
  <c r="B904" i="2"/>
  <c r="B899" i="2"/>
  <c r="B893" i="2"/>
  <c r="B888" i="2"/>
  <c r="B883" i="2"/>
  <c r="B877" i="2"/>
  <c r="B872" i="2"/>
  <c r="B867" i="2"/>
  <c r="B861" i="2"/>
  <c r="B856" i="2"/>
  <c r="B851" i="2"/>
  <c r="B845" i="2"/>
  <c r="B840" i="2"/>
  <c r="B835" i="2"/>
  <c r="B829" i="2"/>
  <c r="B824" i="2"/>
  <c r="B819" i="2"/>
  <c r="B813" i="2"/>
  <c r="B808" i="2"/>
  <c r="B803" i="2"/>
  <c r="B797" i="2"/>
  <c r="B792" i="2"/>
  <c r="B787" i="2"/>
  <c r="B781" i="2"/>
  <c r="B776" i="2"/>
  <c r="B771" i="2"/>
  <c r="B765" i="2"/>
  <c r="B760" i="2"/>
  <c r="B755" i="2"/>
  <c r="B749" i="2"/>
  <c r="B744" i="2"/>
  <c r="B739" i="2"/>
  <c r="B733" i="2"/>
  <c r="B728" i="2"/>
  <c r="B723" i="2"/>
  <c r="B717" i="2"/>
  <c r="B712" i="2"/>
  <c r="B707" i="2"/>
  <c r="B701" i="2"/>
  <c r="B696" i="2"/>
  <c r="B691" i="2"/>
  <c r="B685" i="2"/>
  <c r="B680" i="2"/>
  <c r="B675" i="2"/>
  <c r="B669" i="2"/>
  <c r="B664" i="2"/>
  <c r="B659" i="2"/>
  <c r="B653" i="2"/>
  <c r="B648" i="2"/>
  <c r="B643" i="2"/>
  <c r="B637" i="2"/>
  <c r="B632" i="2"/>
  <c r="B627" i="2"/>
  <c r="B621" i="2"/>
  <c r="B616" i="2"/>
  <c r="B611" i="2"/>
  <c r="B605" i="2"/>
  <c r="B600" i="2"/>
  <c r="B595" i="2"/>
  <c r="B589" i="2"/>
  <c r="B584" i="2"/>
  <c r="B579" i="2"/>
  <c r="B573" i="2"/>
  <c r="B568" i="2"/>
  <c r="B563" i="2"/>
  <c r="B557" i="2"/>
  <c r="B552" i="2"/>
  <c r="B547" i="2"/>
  <c r="B541" i="2"/>
  <c r="B536" i="2"/>
  <c r="B531" i="2"/>
  <c r="B525" i="2"/>
  <c r="B520" i="2"/>
  <c r="B515" i="2"/>
  <c r="B509" i="2"/>
  <c r="B504" i="2"/>
  <c r="B499" i="2"/>
  <c r="B493" i="2"/>
  <c r="B488" i="2"/>
  <c r="B483" i="2"/>
  <c r="B477" i="2"/>
  <c r="B472" i="2"/>
  <c r="B467" i="2"/>
  <c r="B461" i="2"/>
  <c r="B456" i="2"/>
  <c r="B451" i="2"/>
  <c r="B445" i="2"/>
  <c r="B440" i="2"/>
  <c r="B435" i="2"/>
  <c r="B429" i="2"/>
  <c r="B424" i="2"/>
  <c r="B419" i="2"/>
  <c r="B413" i="2"/>
  <c r="B408" i="2"/>
  <c r="B403" i="2"/>
  <c r="B397" i="2"/>
  <c r="B392" i="2"/>
  <c r="B387" i="2"/>
  <c r="B381" i="2"/>
  <c r="B376" i="2"/>
  <c r="B371" i="2"/>
  <c r="B365" i="2"/>
  <c r="B360" i="2"/>
  <c r="B355" i="2"/>
  <c r="B349" i="2"/>
  <c r="B344" i="2"/>
  <c r="B339" i="2"/>
  <c r="B333" i="2"/>
  <c r="B328" i="2"/>
  <c r="B323" i="2"/>
  <c r="B317" i="2"/>
  <c r="B312" i="2"/>
  <c r="B307" i="2"/>
  <c r="B301" i="2"/>
  <c r="B296" i="2"/>
  <c r="B291" i="2"/>
  <c r="B285" i="2"/>
  <c r="B280" i="2"/>
  <c r="B275" i="2"/>
  <c r="B269" i="2"/>
  <c r="B264" i="2"/>
  <c r="B259" i="2"/>
  <c r="B253" i="2"/>
  <c r="B248" i="2"/>
  <c r="B243" i="2"/>
  <c r="B237" i="2"/>
  <c r="B232" i="2"/>
  <c r="B227" i="2"/>
  <c r="B221" i="2"/>
  <c r="B216" i="2"/>
  <c r="B211" i="2"/>
  <c r="B205" i="2"/>
  <c r="B200" i="2"/>
  <c r="B195" i="2"/>
  <c r="B189" i="2"/>
  <c r="B184" i="2"/>
  <c r="B179" i="2"/>
  <c r="B173" i="2"/>
  <c r="B168" i="2"/>
  <c r="B163" i="2"/>
  <c r="B157" i="2"/>
  <c r="B152" i="2"/>
  <c r="B147" i="2"/>
  <c r="B141" i="2"/>
  <c r="B136" i="2"/>
  <c r="B131" i="2"/>
  <c r="B125" i="2"/>
  <c r="B120" i="2"/>
  <c r="B115" i="2"/>
  <c r="B109" i="2"/>
  <c r="B104" i="2"/>
  <c r="B99" i="2"/>
  <c r="B93" i="2"/>
  <c r="B88" i="2"/>
  <c r="B83" i="2"/>
  <c r="B77" i="2"/>
  <c r="B72" i="2"/>
  <c r="B67" i="2"/>
  <c r="B61" i="2"/>
  <c r="B56" i="2"/>
  <c r="B51" i="2"/>
  <c r="B45" i="2"/>
  <c r="B40" i="2"/>
  <c r="B35" i="2"/>
  <c r="B29" i="2"/>
  <c r="B24" i="2"/>
  <c r="B19" i="2"/>
  <c r="B13" i="2"/>
  <c r="B8" i="2"/>
  <c r="B3" i="2"/>
  <c r="B4796" i="2"/>
  <c r="B4787" i="2"/>
  <c r="B4775" i="2"/>
  <c r="B4764" i="2"/>
  <c r="B4743" i="2"/>
  <c r="B4732" i="2"/>
  <c r="B4723" i="2"/>
  <c r="B4711" i="2"/>
  <c r="B4691" i="2"/>
  <c r="B4679" i="2"/>
  <c r="B4668" i="2"/>
  <c r="B4659" i="2"/>
  <c r="B4636" i="2"/>
  <c r="B4615" i="2"/>
  <c r="B4604" i="2"/>
  <c r="B4583" i="2"/>
  <c r="B4572" i="2"/>
  <c r="B4551" i="2"/>
  <c r="B4540" i="2"/>
  <c r="B4519" i="2"/>
  <c r="B4508" i="2"/>
  <c r="B4487" i="2"/>
  <c r="B4476" i="2"/>
  <c r="B4467" i="2"/>
  <c r="B4444" i="2"/>
  <c r="B4423" i="2"/>
  <c r="B4412" i="2"/>
  <c r="B4403" i="2"/>
  <c r="B4380" i="2"/>
  <c r="B4371" i="2"/>
  <c r="B4348" i="2"/>
  <c r="B4339" i="2"/>
  <c r="B4316" i="2"/>
  <c r="B4307" i="2"/>
  <c r="B4295" i="2"/>
  <c r="B4275" i="2"/>
  <c r="B4263" i="2"/>
  <c r="B4243" i="2"/>
  <c r="B4231" i="2"/>
  <c r="B4211" i="2"/>
  <c r="B4199" i="2"/>
  <c r="B4179" i="2"/>
  <c r="B4167" i="2"/>
  <c r="B4147" i="2"/>
  <c r="B4135" i="2"/>
  <c r="B4115" i="2"/>
  <c r="B4103" i="2"/>
  <c r="B4083" i="2"/>
  <c r="B4071" i="2"/>
  <c r="B4051" i="2"/>
  <c r="B4039" i="2"/>
  <c r="B4028" i="2"/>
  <c r="B4007" i="2"/>
  <c r="B3996" i="2"/>
  <c r="B3987" i="2"/>
  <c r="B3975" i="2"/>
  <c r="B3955" i="2"/>
  <c r="B3943" i="2"/>
  <c r="B3923" i="2"/>
  <c r="B3911" i="2"/>
  <c r="B3900" i="2"/>
  <c r="B3879" i="2"/>
  <c r="B3868" i="2"/>
  <c r="B3847" i="2"/>
  <c r="B3836" i="2"/>
  <c r="B3827" i="2"/>
  <c r="B3804" i="2"/>
  <c r="B3795" i="2"/>
  <c r="B3783" i="2"/>
  <c r="B3763" i="2"/>
  <c r="B3751" i="2"/>
  <c r="B3731" i="2"/>
  <c r="B3719" i="2"/>
  <c r="B3699" i="2"/>
  <c r="B3687" i="2"/>
  <c r="B3667" i="2"/>
  <c r="B3644" i="2"/>
  <c r="B3623" i="2"/>
  <c r="B3603" i="2"/>
  <c r="B3591" i="2"/>
  <c r="B3571" i="2"/>
  <c r="B3548" i="2"/>
  <c r="B3539" i="2"/>
  <c r="B3516" i="2"/>
  <c r="B3507" i="2"/>
  <c r="B3484" i="2"/>
  <c r="B3475" i="2"/>
  <c r="B3452" i="2"/>
  <c r="B3443" i="2"/>
  <c r="B3431" i="2"/>
  <c r="B3411" i="2"/>
  <c r="B3399" i="2"/>
  <c r="B3388" i="2"/>
  <c r="B3367" i="2"/>
  <c r="B3356" i="2"/>
  <c r="B3347" i="2"/>
  <c r="B3324" i="2"/>
  <c r="B3303" i="2"/>
  <c r="B3283" i="2"/>
  <c r="B3260" i="2"/>
  <c r="B3239" i="2"/>
  <c r="B3219" i="2"/>
  <c r="B3207" i="2"/>
  <c r="B3187" i="2"/>
  <c r="B3175" i="2"/>
  <c r="B3155" i="2"/>
  <c r="B3132" i="2"/>
  <c r="B3111" i="2"/>
  <c r="B3091" i="2"/>
  <c r="B3068" i="2"/>
  <c r="B3059" i="2"/>
  <c r="B3036" i="2"/>
  <c r="B3015" i="2"/>
  <c r="B2995" i="2"/>
  <c r="B2983" i="2"/>
  <c r="B2963" i="2"/>
  <c r="B2940" i="2"/>
  <c r="B2931" i="2"/>
  <c r="B2908" i="2"/>
  <c r="B2899" i="2"/>
  <c r="B2876" i="2"/>
  <c r="B2867" i="2"/>
  <c r="B2855" i="2"/>
  <c r="B2835" i="2"/>
  <c r="B2812" i="2"/>
  <c r="B2791" i="2"/>
  <c r="B2771" i="2"/>
  <c r="B2748" i="2"/>
  <c r="B2739" i="2"/>
  <c r="B2716" i="2"/>
  <c r="B2695" i="2"/>
  <c r="B2684" i="2"/>
  <c r="B2663" i="2"/>
  <c r="B2643" i="2"/>
  <c r="B2620" i="2"/>
  <c r="B2611" i="2"/>
  <c r="B2588" i="2"/>
  <c r="B2579" i="2"/>
  <c r="B2556" i="2"/>
  <c r="B2535" i="2"/>
  <c r="B2515" i="2"/>
  <c r="B2503" i="2"/>
  <c r="B2483" i="2"/>
  <c r="B2471" i="2"/>
  <c r="B2451" i="2"/>
  <c r="B2439" i="2"/>
  <c r="B2419" i="2"/>
  <c r="B2408" i="2"/>
  <c r="B2395" i="2"/>
  <c r="B2387" i="2"/>
  <c r="B2365" i="2"/>
  <c r="B2352" i="2"/>
  <c r="B2337" i="2"/>
  <c r="B2331" i="2"/>
  <c r="B2316" i="2"/>
  <c r="B2305" i="2"/>
  <c r="B2300" i="2"/>
  <c r="B2289" i="2"/>
  <c r="B2284" i="2"/>
  <c r="B2279" i="2"/>
  <c r="B4755" i="2"/>
  <c r="B4700" i="2"/>
  <c r="B4647" i="2"/>
  <c r="B4627" i="2"/>
  <c r="B4595" i="2"/>
  <c r="B4563" i="2"/>
  <c r="B4531" i="2"/>
  <c r="B4499" i="2"/>
  <c r="B4455" i="2"/>
  <c r="B4435" i="2"/>
  <c r="B4391" i="2"/>
  <c r="B4359" i="2"/>
  <c r="B4327" i="2"/>
  <c r="B4284" i="2"/>
  <c r="B4252" i="2"/>
  <c r="B4220" i="2"/>
  <c r="B4188" i="2"/>
  <c r="B4156" i="2"/>
  <c r="B4124" i="2"/>
  <c r="B4092" i="2"/>
  <c r="B4060" i="2"/>
  <c r="B4019" i="2"/>
  <c r="B3964" i="2"/>
  <c r="B3932" i="2"/>
  <c r="B3891" i="2"/>
  <c r="B3859" i="2"/>
  <c r="B3815" i="2"/>
  <c r="B3772" i="2"/>
  <c r="B3740" i="2"/>
  <c r="B3708" i="2"/>
  <c r="B3676" i="2"/>
  <c r="B3655" i="2"/>
  <c r="B3635" i="2"/>
  <c r="B3612" i="2"/>
  <c r="B3580" i="2"/>
  <c r="B3559" i="2"/>
  <c r="B3527" i="2"/>
  <c r="B3495" i="2"/>
  <c r="B3463" i="2"/>
  <c r="B3420" i="2"/>
  <c r="B3379" i="2"/>
  <c r="B3335" i="2"/>
  <c r="B3315" i="2"/>
  <c r="B3292" i="2"/>
  <c r="B3271" i="2"/>
  <c r="B3228" i="2"/>
  <c r="B3196" i="2"/>
  <c r="B3164" i="2"/>
  <c r="B3143" i="2"/>
  <c r="B3123" i="2"/>
  <c r="B3100" i="2"/>
  <c r="B3079" i="2"/>
  <c r="B3047" i="2"/>
  <c r="B3027" i="2"/>
  <c r="B3004" i="2"/>
  <c r="B2972" i="2"/>
  <c r="B2951" i="2"/>
  <c r="B2919" i="2"/>
  <c r="B2887" i="2"/>
  <c r="B2844" i="2"/>
  <c r="B2823" i="2"/>
  <c r="B2803" i="2"/>
  <c r="B2780" i="2"/>
  <c r="B2759" i="2"/>
  <c r="B2727" i="2"/>
  <c r="B2707" i="2"/>
  <c r="B2675" i="2"/>
  <c r="B2652" i="2"/>
  <c r="B2631" i="2"/>
  <c r="B2599" i="2"/>
  <c r="B2567" i="2"/>
  <c r="B2547" i="2"/>
  <c r="B2524" i="2"/>
  <c r="B2492" i="2"/>
  <c r="B2460" i="2"/>
  <c r="B2428" i="2"/>
  <c r="B2401" i="2"/>
  <c r="B2380" i="2"/>
  <c r="B2359" i="2"/>
  <c r="B2344" i="2"/>
  <c r="B2323" i="2"/>
  <c r="B2311" i="2"/>
  <c r="B4783" i="2"/>
  <c r="B4740" i="2"/>
  <c r="B4699" i="2"/>
  <c r="B4655" i="2"/>
  <c r="B4612" i="2"/>
  <c r="B4571" i="2"/>
  <c r="B4527" i="2"/>
  <c r="B4484" i="2"/>
  <c r="B4443" i="2"/>
  <c r="B4399" i="2"/>
  <c r="B4356" i="2"/>
  <c r="B4315" i="2"/>
  <c r="B4271" i="2"/>
  <c r="B4228" i="2"/>
  <c r="B4187" i="2"/>
  <c r="B4143" i="2"/>
  <c r="B4100" i="2"/>
  <c r="B4059" i="2"/>
  <c r="B4015" i="2"/>
  <c r="B3972" i="2"/>
  <c r="B3931" i="2"/>
  <c r="B3887" i="2"/>
  <c r="B3844" i="2"/>
  <c r="B3803" i="2"/>
  <c r="B3759" i="2"/>
  <c r="B3716" i="2"/>
  <c r="B3675" i="2"/>
  <c r="B3631" i="2"/>
  <c r="B3588" i="2"/>
  <c r="B3547" i="2"/>
  <c r="B3503" i="2"/>
  <c r="B3460" i="2"/>
  <c r="B3419" i="2"/>
  <c r="B3375" i="2"/>
  <c r="B3332" i="2"/>
  <c r="B3291" i="2"/>
  <c r="B3247" i="2"/>
  <c r="B3204" i="2"/>
  <c r="B3163" i="2"/>
  <c r="B3119" i="2"/>
  <c r="B3076" i="2"/>
  <c r="B3035" i="2"/>
  <c r="B2991" i="2"/>
  <c r="B2948" i="2"/>
  <c r="B2907" i="2"/>
  <c r="B2863" i="2"/>
  <c r="B2820" i="2"/>
  <c r="B2779" i="2"/>
  <c r="B2735" i="2"/>
  <c r="B2692" i="2"/>
  <c r="B2651" i="2"/>
  <c r="B2607" i="2"/>
  <c r="B2564" i="2"/>
  <c r="B2523" i="2"/>
  <c r="B2479" i="2"/>
  <c r="B2436" i="2"/>
  <c r="B2400" i="2"/>
  <c r="B2373" i="2"/>
  <c r="B2349" i="2"/>
  <c r="B2321" i="2"/>
  <c r="B2299" i="2"/>
  <c r="B2283" i="2"/>
  <c r="B2268" i="2"/>
  <c r="B2257" i="2"/>
  <c r="B2247" i="2"/>
  <c r="B2236" i="2"/>
  <c r="B2225" i="2"/>
  <c r="B2215" i="2"/>
  <c r="B2204" i="2"/>
  <c r="B2193" i="2"/>
  <c r="B2183" i="2"/>
  <c r="B2172" i="2"/>
  <c r="B2161" i="2"/>
  <c r="B2151" i="2"/>
  <c r="B2140" i="2"/>
  <c r="B2129" i="2"/>
  <c r="B2119" i="2"/>
  <c r="B2108" i="2"/>
  <c r="B2097" i="2"/>
  <c r="B2087" i="2"/>
  <c r="B2076" i="2"/>
  <c r="B2065" i="2"/>
  <c r="B2055" i="2"/>
  <c r="B2044" i="2"/>
  <c r="B2033" i="2"/>
  <c r="B2023" i="2"/>
  <c r="B2012" i="2"/>
  <c r="B2001" i="2"/>
  <c r="B1991" i="2"/>
  <c r="B1980" i="2"/>
  <c r="B1969" i="2"/>
  <c r="B1959" i="2"/>
  <c r="B1948" i="2"/>
  <c r="B1937" i="2"/>
  <c r="B1927" i="2"/>
  <c r="B1916" i="2"/>
  <c r="B1905" i="2"/>
  <c r="B1895" i="2"/>
  <c r="B1884" i="2"/>
  <c r="B1873" i="2"/>
  <c r="B1863" i="2"/>
  <c r="B1852" i="2"/>
  <c r="B1841" i="2"/>
  <c r="B1831" i="2"/>
  <c r="B1820" i="2"/>
  <c r="B1809" i="2"/>
  <c r="B1799" i="2"/>
  <c r="B1788" i="2"/>
  <c r="B1777" i="2"/>
  <c r="B1767" i="2"/>
  <c r="B1756" i="2"/>
  <c r="B1745" i="2"/>
  <c r="B1735" i="2"/>
  <c r="B1724" i="2"/>
  <c r="B1713" i="2"/>
  <c r="B1703" i="2"/>
  <c r="B1692" i="2"/>
  <c r="B1681" i="2"/>
  <c r="B1671" i="2"/>
  <c r="B1660" i="2"/>
  <c r="B1649" i="2"/>
  <c r="B1639" i="2"/>
  <c r="B1628" i="2"/>
  <c r="B1617" i="2"/>
  <c r="B1607" i="2"/>
  <c r="B1596" i="2"/>
  <c r="B1585" i="2"/>
  <c r="B1575" i="2"/>
  <c r="B1564" i="2"/>
  <c r="B1553" i="2"/>
  <c r="B1543" i="2"/>
  <c r="B1532" i="2"/>
  <c r="B1521" i="2"/>
  <c r="B1511" i="2"/>
  <c r="B1500" i="2"/>
  <c r="B1489" i="2"/>
  <c r="B1479" i="2"/>
  <c r="B1468" i="2"/>
  <c r="B1457" i="2"/>
  <c r="B1447" i="2"/>
  <c r="B1436" i="2"/>
  <c r="B1425" i="2"/>
  <c r="B1415" i="2"/>
  <c r="B1404" i="2"/>
  <c r="B1393" i="2"/>
  <c r="B1383" i="2"/>
  <c r="B1372" i="2"/>
  <c r="B1361" i="2"/>
  <c r="B1351" i="2"/>
  <c r="B1340" i="2"/>
  <c r="B1329" i="2"/>
  <c r="B1319" i="2"/>
  <c r="B1308" i="2"/>
  <c r="B1297" i="2"/>
  <c r="B1287" i="2"/>
  <c r="B1276" i="2"/>
  <c r="B1265" i="2"/>
  <c r="B1255" i="2"/>
  <c r="B1244" i="2"/>
  <c r="B1233" i="2"/>
  <c r="B1223" i="2"/>
  <c r="B1212" i="2"/>
  <c r="B1201" i="2"/>
  <c r="B1191" i="2"/>
  <c r="B1180" i="2"/>
  <c r="B1169" i="2"/>
  <c r="B1159" i="2"/>
  <c r="B1148" i="2"/>
  <c r="B1137" i="2"/>
  <c r="B1127" i="2"/>
  <c r="B1116" i="2"/>
  <c r="B1105" i="2"/>
  <c r="B1095" i="2"/>
  <c r="B1084" i="2"/>
  <c r="B1073" i="2"/>
  <c r="B1063" i="2"/>
  <c r="B1052" i="2"/>
  <c r="B1041" i="2"/>
  <c r="B1031" i="2"/>
  <c r="B1020" i="2"/>
  <c r="B1009" i="2"/>
  <c r="B999" i="2"/>
  <c r="B988" i="2"/>
  <c r="B977" i="2"/>
  <c r="B967" i="2"/>
  <c r="B956" i="2"/>
  <c r="B945" i="2"/>
  <c r="B935" i="2"/>
  <c r="B924" i="2"/>
  <c r="B913" i="2"/>
  <c r="B903" i="2"/>
  <c r="B892" i="2"/>
  <c r="B881" i="2"/>
  <c r="B871" i="2"/>
  <c r="B860" i="2"/>
  <c r="B849" i="2"/>
  <c r="B839" i="2"/>
  <c r="B828" i="2"/>
  <c r="B817" i="2"/>
  <c r="B807" i="2"/>
  <c r="B796" i="2"/>
  <c r="B785" i="2"/>
  <c r="B775" i="2"/>
  <c r="B764" i="2"/>
  <c r="B753" i="2"/>
  <c r="B743" i="2"/>
  <c r="B732" i="2"/>
  <c r="B721" i="2"/>
  <c r="B711" i="2"/>
  <c r="B700" i="2"/>
  <c r="B689" i="2"/>
  <c r="B679" i="2"/>
  <c r="B668" i="2"/>
  <c r="B657" i="2"/>
  <c r="B647" i="2"/>
  <c r="B636" i="2"/>
  <c r="B625" i="2"/>
  <c r="B615" i="2"/>
  <c r="B604" i="2"/>
  <c r="B593" i="2"/>
  <c r="B583" i="2"/>
  <c r="B572" i="2"/>
  <c r="B561" i="2"/>
  <c r="B551" i="2"/>
  <c r="B540" i="2"/>
  <c r="B529" i="2"/>
  <c r="B519" i="2"/>
  <c r="B508" i="2"/>
  <c r="B497" i="2"/>
  <c r="B487" i="2"/>
  <c r="B476" i="2"/>
  <c r="B465" i="2"/>
  <c r="B455" i="2"/>
  <c r="B444" i="2"/>
  <c r="B433" i="2"/>
  <c r="B423" i="2"/>
  <c r="B412" i="2"/>
  <c r="B401" i="2"/>
  <c r="B391" i="2"/>
  <c r="B380" i="2"/>
  <c r="B369" i="2"/>
  <c r="B359" i="2"/>
  <c r="B348" i="2"/>
  <c r="B337" i="2"/>
  <c r="B327" i="2"/>
  <c r="B316" i="2"/>
  <c r="B305" i="2"/>
  <c r="B295" i="2"/>
  <c r="B284" i="2"/>
  <c r="B273" i="2"/>
  <c r="B263" i="2"/>
  <c r="B252" i="2"/>
  <c r="B241" i="2"/>
  <c r="B231" i="2"/>
  <c r="B220" i="2"/>
  <c r="B209" i="2"/>
  <c r="B199" i="2"/>
  <c r="B188" i="2"/>
  <c r="B177" i="2"/>
  <c r="B167" i="2"/>
  <c r="B156" i="2"/>
  <c r="B145" i="2"/>
  <c r="B135" i="2"/>
  <c r="B124" i="2"/>
  <c r="B113" i="2"/>
  <c r="B103" i="2"/>
  <c r="B92" i="2"/>
  <c r="B81" i="2"/>
  <c r="B71" i="2"/>
  <c r="B60" i="2"/>
  <c r="B49" i="2"/>
  <c r="B39" i="2"/>
  <c r="B28" i="2"/>
  <c r="B17" i="2"/>
  <c r="B7" i="2"/>
  <c r="B4772" i="2"/>
  <c r="B4731" i="2"/>
  <c r="B4687" i="2"/>
  <c r="B4644" i="2"/>
  <c r="B4603" i="2"/>
  <c r="B4559" i="2"/>
  <c r="B4516" i="2"/>
  <c r="B4475" i="2"/>
  <c r="B4431" i="2"/>
  <c r="B4388" i="2"/>
  <c r="B4347" i="2"/>
  <c r="B4303" i="2"/>
  <c r="B4260" i="2"/>
  <c r="B4219" i="2"/>
  <c r="B4175" i="2"/>
  <c r="B4132" i="2"/>
  <c r="B4091" i="2"/>
  <c r="B4047" i="2"/>
  <c r="B4004" i="2"/>
  <c r="B3963" i="2"/>
  <c r="B3919" i="2"/>
  <c r="B3876" i="2"/>
  <c r="B3835" i="2"/>
  <c r="B3791" i="2"/>
  <c r="B3748" i="2"/>
  <c r="B3707" i="2"/>
  <c r="B3663" i="2"/>
  <c r="B3620" i="2"/>
  <c r="B3579" i="2"/>
  <c r="B3535" i="2"/>
  <c r="B3492" i="2"/>
  <c r="B3451" i="2"/>
  <c r="B3407" i="2"/>
  <c r="B3364" i="2"/>
  <c r="B3323" i="2"/>
  <c r="B3279" i="2"/>
  <c r="B3236" i="2"/>
  <c r="B3195" i="2"/>
  <c r="B3151" i="2"/>
  <c r="B3108" i="2"/>
  <c r="B3067" i="2"/>
  <c r="B3023" i="2"/>
  <c r="B2980" i="2"/>
  <c r="B2939" i="2"/>
  <c r="B2895" i="2"/>
  <c r="B2852" i="2"/>
  <c r="B2811" i="2"/>
  <c r="B2767" i="2"/>
  <c r="B2724" i="2"/>
  <c r="B2683" i="2"/>
  <c r="B2639" i="2"/>
  <c r="B2596" i="2"/>
  <c r="B2555" i="2"/>
  <c r="B2511" i="2"/>
  <c r="B2468" i="2"/>
  <c r="B2427" i="2"/>
  <c r="B2392" i="2"/>
  <c r="B2371" i="2"/>
  <c r="B2343" i="2"/>
  <c r="B2315" i="2"/>
  <c r="B2295" i="2"/>
  <c r="B2277" i="2"/>
  <c r="B2267" i="2"/>
  <c r="B2256" i="2"/>
  <c r="B2245" i="2"/>
  <c r="B2235" i="2"/>
  <c r="B2224" i="2"/>
  <c r="B2213" i="2"/>
  <c r="B2203" i="2"/>
  <c r="B2192" i="2"/>
  <c r="B2181" i="2"/>
  <c r="B2171" i="2"/>
  <c r="B2160" i="2"/>
  <c r="B2149" i="2"/>
  <c r="B2139" i="2"/>
  <c r="B2128" i="2"/>
  <c r="B2117" i="2"/>
  <c r="B2107" i="2"/>
  <c r="B2096" i="2"/>
  <c r="B2085" i="2"/>
  <c r="B2075" i="2"/>
  <c r="B2064" i="2"/>
  <c r="B2053" i="2"/>
  <c r="B2043" i="2"/>
  <c r="B2032" i="2"/>
  <c r="B2021" i="2"/>
  <c r="B2011" i="2"/>
  <c r="B2000" i="2"/>
  <c r="B1989" i="2"/>
  <c r="B1979" i="2"/>
  <c r="B1968" i="2"/>
  <c r="B1957" i="2"/>
  <c r="B1947" i="2"/>
  <c r="B1936" i="2"/>
  <c r="B1925" i="2"/>
  <c r="B1915" i="2"/>
  <c r="B1904" i="2"/>
  <c r="B1893" i="2"/>
  <c r="B1883" i="2"/>
  <c r="B1872" i="2"/>
  <c r="B1861" i="2"/>
  <c r="B1851" i="2"/>
  <c r="B1840" i="2"/>
  <c r="B1829" i="2"/>
  <c r="B1819" i="2"/>
  <c r="B1808" i="2"/>
  <c r="B1797" i="2"/>
  <c r="B1787" i="2"/>
  <c r="B1776" i="2"/>
  <c r="B1765" i="2"/>
  <c r="B1755" i="2"/>
  <c r="B1744" i="2"/>
  <c r="B1733" i="2"/>
  <c r="B1723" i="2"/>
  <c r="B1712" i="2"/>
  <c r="B1701" i="2"/>
  <c r="B1691" i="2"/>
  <c r="B1680" i="2"/>
  <c r="B1669" i="2"/>
  <c r="B1659" i="2"/>
  <c r="B1648" i="2"/>
  <c r="B1637" i="2"/>
  <c r="B1627" i="2"/>
  <c r="B1616" i="2"/>
  <c r="B1605" i="2"/>
  <c r="B1595" i="2"/>
  <c r="B1584" i="2"/>
  <c r="B1573" i="2"/>
  <c r="B1563" i="2"/>
  <c r="B1552" i="2"/>
  <c r="B1541" i="2"/>
  <c r="B1531" i="2"/>
  <c r="B1520" i="2"/>
  <c r="B1509" i="2"/>
  <c r="B1499" i="2"/>
  <c r="B1488" i="2"/>
  <c r="B1477" i="2"/>
  <c r="B1467" i="2"/>
  <c r="B1456" i="2"/>
  <c r="B1445" i="2"/>
  <c r="B1435" i="2"/>
  <c r="B1424" i="2"/>
  <c r="B1413" i="2"/>
  <c r="B1403" i="2"/>
  <c r="B1392" i="2"/>
  <c r="B1381" i="2"/>
  <c r="B1371" i="2"/>
  <c r="B1360" i="2"/>
  <c r="B1349" i="2"/>
  <c r="B1339" i="2"/>
  <c r="B1328" i="2"/>
  <c r="B1317" i="2"/>
  <c r="B1307" i="2"/>
  <c r="B1296" i="2"/>
  <c r="B1285" i="2"/>
  <c r="B1275" i="2"/>
  <c r="B1264" i="2"/>
  <c r="B1253" i="2"/>
  <c r="B1243" i="2"/>
  <c r="B1232" i="2"/>
  <c r="B1221" i="2"/>
  <c r="B1211" i="2"/>
  <c r="B1200" i="2"/>
  <c r="B1189" i="2"/>
  <c r="B1179" i="2"/>
  <c r="B1168" i="2"/>
  <c r="B1157" i="2"/>
  <c r="B1147" i="2"/>
  <c r="B1136" i="2"/>
  <c r="B1125" i="2"/>
  <c r="B1115" i="2"/>
  <c r="B1104" i="2"/>
  <c r="B1093" i="2"/>
  <c r="B1083" i="2"/>
  <c r="B1072" i="2"/>
  <c r="B1061" i="2"/>
  <c r="B1051" i="2"/>
  <c r="B1040" i="2"/>
  <c r="B1029" i="2"/>
  <c r="B1019" i="2"/>
  <c r="B1008" i="2"/>
  <c r="B997" i="2"/>
  <c r="B987" i="2"/>
  <c r="B976" i="2"/>
  <c r="B965" i="2"/>
  <c r="B955" i="2"/>
  <c r="B944" i="2"/>
  <c r="B933" i="2"/>
  <c r="B923" i="2"/>
  <c r="B912" i="2"/>
  <c r="B901" i="2"/>
  <c r="B891" i="2"/>
  <c r="B880" i="2"/>
  <c r="B869" i="2"/>
  <c r="B859" i="2"/>
  <c r="B848" i="2"/>
  <c r="B837" i="2"/>
  <c r="B827" i="2"/>
  <c r="B816" i="2"/>
  <c r="B805" i="2"/>
  <c r="B795" i="2"/>
  <c r="B784" i="2"/>
  <c r="B773" i="2"/>
  <c r="B763" i="2"/>
  <c r="B752" i="2"/>
  <c r="B741" i="2"/>
  <c r="B731" i="2"/>
  <c r="B720" i="2"/>
  <c r="B709" i="2"/>
  <c r="B699" i="2"/>
  <c r="B688" i="2"/>
  <c r="B677" i="2"/>
  <c r="B667" i="2"/>
  <c r="B656" i="2"/>
  <c r="B645" i="2"/>
  <c r="B635" i="2"/>
  <c r="B624" i="2"/>
  <c r="B613" i="2"/>
  <c r="B603" i="2"/>
  <c r="B592" i="2"/>
  <c r="B581" i="2"/>
  <c r="B571" i="2"/>
  <c r="B560" i="2"/>
  <c r="B549" i="2"/>
  <c r="B539" i="2"/>
  <c r="B528" i="2"/>
  <c r="B517" i="2"/>
  <c r="B507" i="2"/>
  <c r="B496" i="2"/>
  <c r="B485" i="2"/>
  <c r="B475" i="2"/>
  <c r="B464" i="2"/>
  <c r="B453" i="2"/>
  <c r="B443" i="2"/>
  <c r="B432" i="2"/>
  <c r="B421" i="2"/>
  <c r="B411" i="2"/>
  <c r="B400" i="2"/>
  <c r="B389" i="2"/>
  <c r="B379" i="2"/>
  <c r="B368" i="2"/>
  <c r="B357" i="2"/>
  <c r="B347" i="2"/>
  <c r="B336" i="2"/>
  <c r="B325" i="2"/>
  <c r="B315" i="2"/>
  <c r="B304" i="2"/>
  <c r="B293" i="2"/>
  <c r="B283" i="2"/>
  <c r="B272" i="2"/>
  <c r="B261" i="2"/>
  <c r="B251" i="2"/>
  <c r="B240" i="2"/>
  <c r="B229" i="2"/>
  <c r="B219" i="2"/>
  <c r="B208" i="2"/>
  <c r="B197" i="2"/>
  <c r="B187" i="2"/>
  <c r="B176" i="2"/>
  <c r="B165" i="2"/>
  <c r="B155" i="2"/>
  <c r="B144" i="2"/>
  <c r="B133" i="2"/>
  <c r="B123" i="2"/>
  <c r="B112" i="2"/>
  <c r="B101" i="2"/>
  <c r="B91" i="2"/>
  <c r="B80" i="2"/>
  <c r="B69" i="2"/>
  <c r="B59" i="2"/>
  <c r="B48" i="2"/>
  <c r="B37" i="2"/>
  <c r="B27" i="2"/>
  <c r="B16" i="2"/>
  <c r="B5" i="2"/>
  <c r="B4763" i="2"/>
  <c r="B4719" i="2"/>
  <c r="B4676" i="2"/>
  <c r="B4635" i="2"/>
  <c r="B4591" i="2"/>
  <c r="B4548" i="2"/>
  <c r="B4507" i="2"/>
  <c r="B4463" i="2"/>
  <c r="B4420" i="2"/>
  <c r="B4379" i="2"/>
  <c r="B4335" i="2"/>
  <c r="B4292" i="2"/>
  <c r="B4251" i="2"/>
  <c r="B4207" i="2"/>
  <c r="B4164" i="2"/>
  <c r="B4123" i="2"/>
  <c r="B4079" i="2"/>
  <c r="B4036" i="2"/>
  <c r="B3995" i="2"/>
  <c r="B3951" i="2"/>
  <c r="B3908" i="2"/>
  <c r="B3867" i="2"/>
  <c r="B3823" i="2"/>
  <c r="B3780" i="2"/>
  <c r="B3739" i="2"/>
  <c r="B3695" i="2"/>
  <c r="B3652" i="2"/>
  <c r="B3611" i="2"/>
  <c r="B3567" i="2"/>
  <c r="B3524" i="2"/>
  <c r="B3483" i="2"/>
  <c r="B3439" i="2"/>
  <c r="B3396" i="2"/>
  <c r="B3355" i="2"/>
  <c r="B3311" i="2"/>
  <c r="B3268" i="2"/>
  <c r="B3227" i="2"/>
  <c r="B3183" i="2"/>
  <c r="B3140" i="2"/>
  <c r="B3099" i="2"/>
  <c r="B3055" i="2"/>
  <c r="B3012" i="2"/>
  <c r="B2971" i="2"/>
  <c r="B2927" i="2"/>
  <c r="B2884" i="2"/>
  <c r="B2843" i="2"/>
  <c r="B2799" i="2"/>
  <c r="B2756" i="2"/>
  <c r="B2715" i="2"/>
  <c r="B2671" i="2"/>
  <c r="B2628" i="2"/>
  <c r="B2587" i="2"/>
  <c r="B2543" i="2"/>
  <c r="B2500" i="2"/>
  <c r="B2459" i="2"/>
  <c r="B2415" i="2"/>
  <c r="B2385" i="2"/>
  <c r="B2364" i="2"/>
  <c r="B2336" i="2"/>
  <c r="B2309" i="2"/>
  <c r="B2293" i="2"/>
  <c r="B2273" i="2"/>
  <c r="B2263" i="2"/>
  <c r="B2252" i="2"/>
  <c r="B2241" i="2"/>
  <c r="B2231" i="2"/>
  <c r="B2220" i="2"/>
  <c r="B2209" i="2"/>
  <c r="B2199" i="2"/>
  <c r="B2188" i="2"/>
  <c r="B2177" i="2"/>
  <c r="B2167" i="2"/>
  <c r="B2156" i="2"/>
  <c r="B2145" i="2"/>
  <c r="B2135" i="2"/>
  <c r="B2124" i="2"/>
  <c r="B2113" i="2"/>
  <c r="B2103" i="2"/>
  <c r="B2092" i="2"/>
  <c r="B2081" i="2"/>
  <c r="B2071" i="2"/>
  <c r="B2060" i="2"/>
  <c r="B2049" i="2"/>
  <c r="B2039" i="2"/>
  <c r="B2028" i="2"/>
  <c r="B2017" i="2"/>
  <c r="B2007" i="2"/>
  <c r="B1996" i="2"/>
  <c r="B1985" i="2"/>
  <c r="B1975" i="2"/>
  <c r="B1964" i="2"/>
  <c r="B1953" i="2"/>
  <c r="B1943" i="2"/>
  <c r="B1932" i="2"/>
  <c r="B1921" i="2"/>
  <c r="B1911" i="2"/>
  <c r="B1900" i="2"/>
  <c r="B1889" i="2"/>
  <c r="B1879" i="2"/>
  <c r="B1868" i="2"/>
  <c r="B1857" i="2"/>
  <c r="B1847" i="2"/>
  <c r="B1836" i="2"/>
  <c r="B1825" i="2"/>
  <c r="B1815" i="2"/>
  <c r="B1804" i="2"/>
  <c r="B1793" i="2"/>
  <c r="B1783" i="2"/>
  <c r="B1772" i="2"/>
  <c r="B1761" i="2"/>
  <c r="B1751" i="2"/>
  <c r="B1740" i="2"/>
  <c r="B1729" i="2"/>
  <c r="B1719" i="2"/>
  <c r="B1708" i="2"/>
  <c r="B1697" i="2"/>
  <c r="B1687" i="2"/>
  <c r="B1676" i="2"/>
  <c r="B1665" i="2"/>
  <c r="B1655" i="2"/>
  <c r="B1644" i="2"/>
  <c r="B1633" i="2"/>
  <c r="B1623" i="2"/>
  <c r="B1612" i="2"/>
  <c r="B1601" i="2"/>
  <c r="B1591" i="2"/>
  <c r="B1580" i="2"/>
  <c r="B1569" i="2"/>
  <c r="B1559" i="2"/>
  <c r="B1548" i="2"/>
  <c r="B1537" i="2"/>
  <c r="B1527" i="2"/>
  <c r="B1516" i="2"/>
  <c r="B1505" i="2"/>
  <c r="B1495" i="2"/>
  <c r="B1484" i="2"/>
  <c r="B1473" i="2"/>
  <c r="B1463" i="2"/>
  <c r="B1452" i="2"/>
  <c r="B1441" i="2"/>
  <c r="B1431" i="2"/>
  <c r="B1420" i="2"/>
  <c r="B1409" i="2"/>
  <c r="B1399" i="2"/>
  <c r="B1388" i="2"/>
  <c r="B1377" i="2"/>
  <c r="B1367" i="2"/>
  <c r="B1356" i="2"/>
  <c r="B1345" i="2"/>
  <c r="B1335" i="2"/>
  <c r="B1324" i="2"/>
  <c r="B1313" i="2"/>
  <c r="B1303" i="2"/>
  <c r="B1292" i="2"/>
  <c r="B1281" i="2"/>
  <c r="B1271" i="2"/>
  <c r="B1260" i="2"/>
  <c r="B1249" i="2"/>
  <c r="B1239" i="2"/>
  <c r="B1228" i="2"/>
  <c r="B1217" i="2"/>
  <c r="B1207" i="2"/>
  <c r="B1196" i="2"/>
  <c r="B1185" i="2"/>
  <c r="B4667" i="2"/>
  <c r="B4495" i="2"/>
  <c r="B4324" i="2"/>
  <c r="B4155" i="2"/>
  <c r="B3983" i="2"/>
  <c r="B3812" i="2"/>
  <c r="B3643" i="2"/>
  <c r="B3471" i="2"/>
  <c r="B3300" i="2"/>
  <c r="B3131" i="2"/>
  <c r="B2959" i="2"/>
  <c r="B2788" i="2"/>
  <c r="B2619" i="2"/>
  <c r="B2447" i="2"/>
  <c r="B2328" i="2"/>
  <c r="B2261" i="2"/>
  <c r="B2219" i="2"/>
  <c r="B2176" i="2"/>
  <c r="B2133" i="2"/>
  <c r="B2091" i="2"/>
  <c r="B2048" i="2"/>
  <c r="B2005" i="2"/>
  <c r="B1963" i="2"/>
  <c r="B1920" i="2"/>
  <c r="B1877" i="2"/>
  <c r="B1835" i="2"/>
  <c r="B1792" i="2"/>
  <c r="B1707" i="2"/>
  <c r="B1664" i="2"/>
  <c r="B1621" i="2"/>
  <c r="B1579" i="2"/>
  <c r="B1536" i="2"/>
  <c r="B1493" i="2"/>
  <c r="B1451" i="2"/>
  <c r="B1408" i="2"/>
  <c r="B1365" i="2"/>
  <c r="B1323" i="2"/>
  <c r="B1280" i="2"/>
  <c r="B1237" i="2"/>
  <c r="B1195" i="2"/>
  <c r="B1164" i="2"/>
  <c r="B1143" i="2"/>
  <c r="B1121" i="2"/>
  <c r="B1100" i="2"/>
  <c r="B1079" i="2"/>
  <c r="B1036" i="2"/>
  <c r="B993" i="2"/>
  <c r="B929" i="2"/>
  <c r="B865" i="2"/>
  <c r="B801" i="2"/>
  <c r="B737" i="2"/>
  <c r="B673" i="2"/>
  <c r="B588" i="2"/>
  <c r="B503" i="2"/>
  <c r="B417" i="2"/>
  <c r="B353" i="2"/>
  <c r="B289" i="2"/>
  <c r="B204" i="2"/>
  <c r="B140" i="2"/>
  <c r="B76" i="2"/>
  <c r="B12" i="2"/>
  <c r="B4795" i="2"/>
  <c r="B4623" i="2"/>
  <c r="B4452" i="2"/>
  <c r="B4283" i="2"/>
  <c r="B4111" i="2"/>
  <c r="B3940" i="2"/>
  <c r="B3771" i="2"/>
  <c r="B3599" i="2"/>
  <c r="B3428" i="2"/>
  <c r="B3259" i="2"/>
  <c r="B3087" i="2"/>
  <c r="B2916" i="2"/>
  <c r="B2747" i="2"/>
  <c r="B2575" i="2"/>
  <c r="B2407" i="2"/>
  <c r="B2304" i="2"/>
  <c r="B2251" i="2"/>
  <c r="B2208" i="2"/>
  <c r="B2165" i="2"/>
  <c r="B2123" i="2"/>
  <c r="B2080" i="2"/>
  <c r="B2037" i="2"/>
  <c r="B1995" i="2"/>
  <c r="B1952" i="2"/>
  <c r="B1909" i="2"/>
  <c r="B1867" i="2"/>
  <c r="B1824" i="2"/>
  <c r="B1781" i="2"/>
  <c r="B1739" i="2"/>
  <c r="B1696" i="2"/>
  <c r="B1653" i="2"/>
  <c r="B1611" i="2"/>
  <c r="B1568" i="2"/>
  <c r="B1525" i="2"/>
  <c r="B1483" i="2"/>
  <c r="B1440" i="2"/>
  <c r="B1397" i="2"/>
  <c r="B1355" i="2"/>
  <c r="B1312" i="2"/>
  <c r="B1269" i="2"/>
  <c r="B1227" i="2"/>
  <c r="B1184" i="2"/>
  <c r="B1163" i="2"/>
  <c r="B1141" i="2"/>
  <c r="B1120" i="2"/>
  <c r="B1099" i="2"/>
  <c r="B1077" i="2"/>
  <c r="B1056" i="2"/>
  <c r="B1035" i="2"/>
  <c r="B1013" i="2"/>
  <c r="B992" i="2"/>
  <c r="B971" i="2"/>
  <c r="B949" i="2"/>
  <c r="B928" i="2"/>
  <c r="B907" i="2"/>
  <c r="B885" i="2"/>
  <c r="B864" i="2"/>
  <c r="B843" i="2"/>
  <c r="B821" i="2"/>
  <c r="B800" i="2"/>
  <c r="B779" i="2"/>
  <c r="B757" i="2"/>
  <c r="B736" i="2"/>
  <c r="B715" i="2"/>
  <c r="B693" i="2"/>
  <c r="B672" i="2"/>
  <c r="B651" i="2"/>
  <c r="B629" i="2"/>
  <c r="B608" i="2"/>
  <c r="B587" i="2"/>
  <c r="B565" i="2"/>
  <c r="B544" i="2"/>
  <c r="B523" i="2"/>
  <c r="B501" i="2"/>
  <c r="B480" i="2"/>
  <c r="B459" i="2"/>
  <c r="B437" i="2"/>
  <c r="B416" i="2"/>
  <c r="B395" i="2"/>
  <c r="B373" i="2"/>
  <c r="B352" i="2"/>
  <c r="B331" i="2"/>
  <c r="B309" i="2"/>
  <c r="B288" i="2"/>
  <c r="B267" i="2"/>
  <c r="B245" i="2"/>
  <c r="B224" i="2"/>
  <c r="B203" i="2"/>
  <c r="B181" i="2"/>
  <c r="B160" i="2"/>
  <c r="B139" i="2"/>
  <c r="B117" i="2"/>
  <c r="B96" i="2"/>
  <c r="B75" i="2"/>
  <c r="B53" i="2"/>
  <c r="B32" i="2"/>
  <c r="B11" i="2"/>
  <c r="B4708" i="2"/>
  <c r="B4367" i="2"/>
  <c r="B4196" i="2"/>
  <c r="B4027" i="2"/>
  <c r="B3855" i="2"/>
  <c r="B3684" i="2"/>
  <c r="B3515" i="2"/>
  <c r="B3172" i="2"/>
  <c r="B2831" i="2"/>
  <c r="B2491" i="2"/>
  <c r="B2272" i="2"/>
  <c r="B2187" i="2"/>
  <c r="B2101" i="2"/>
  <c r="B2016" i="2"/>
  <c r="B1931" i="2"/>
  <c r="B1845" i="2"/>
  <c r="B1760" i="2"/>
  <c r="B1675" i="2"/>
  <c r="B1589" i="2"/>
  <c r="B1504" i="2"/>
  <c r="B1419" i="2"/>
  <c r="B1333" i="2"/>
  <c r="B1248" i="2"/>
  <c r="B1173" i="2"/>
  <c r="B1131" i="2"/>
  <c r="B1088" i="2"/>
  <c r="B1045" i="2"/>
  <c r="B1003" i="2"/>
  <c r="B960" i="2"/>
  <c r="B917" i="2"/>
  <c r="B875" i="2"/>
  <c r="B832" i="2"/>
  <c r="B789" i="2"/>
  <c r="B747" i="2"/>
  <c r="B704" i="2"/>
  <c r="B661" i="2"/>
  <c r="B619" i="2"/>
  <c r="B576" i="2"/>
  <c r="B533" i="2"/>
  <c r="B491" i="2"/>
  <c r="B469" i="2"/>
  <c r="B427" i="2"/>
  <c r="B384" i="2"/>
  <c r="B341" i="2"/>
  <c r="B299" i="2"/>
  <c r="B256" i="2"/>
  <c r="B213" i="2"/>
  <c r="B171" i="2"/>
  <c r="B128" i="2"/>
  <c r="B107" i="2"/>
  <c r="B64" i="2"/>
  <c r="B21" i="2"/>
  <c r="B1749" i="2"/>
  <c r="B1057" i="2"/>
  <c r="B1015" i="2"/>
  <c r="B972" i="2"/>
  <c r="B951" i="2"/>
  <c r="B908" i="2"/>
  <c r="B887" i="2"/>
  <c r="B844" i="2"/>
  <c r="B823" i="2"/>
  <c r="B780" i="2"/>
  <c r="B759" i="2"/>
  <c r="B716" i="2"/>
  <c r="B695" i="2"/>
  <c r="B652" i="2"/>
  <c r="B631" i="2"/>
  <c r="B609" i="2"/>
  <c r="B567" i="2"/>
  <c r="B545" i="2"/>
  <c r="B524" i="2"/>
  <c r="B481" i="2"/>
  <c r="B460" i="2"/>
  <c r="B439" i="2"/>
  <c r="B396" i="2"/>
  <c r="B375" i="2"/>
  <c r="B332" i="2"/>
  <c r="B311" i="2"/>
  <c r="B268" i="2"/>
  <c r="B247" i="2"/>
  <c r="B225" i="2"/>
  <c r="B183" i="2"/>
  <c r="B161" i="2"/>
  <c r="B119" i="2"/>
  <c r="B97" i="2"/>
  <c r="B55" i="2"/>
  <c r="B33" i="2"/>
  <c r="B4751" i="2"/>
  <c r="B4580" i="2"/>
  <c r="B4411" i="2"/>
  <c r="B4239" i="2"/>
  <c r="B4068" i="2"/>
  <c r="B3899" i="2"/>
  <c r="B3727" i="2"/>
  <c r="B3556" i="2"/>
  <c r="B3387" i="2"/>
  <c r="B3215" i="2"/>
  <c r="B3044" i="2"/>
  <c r="B2875" i="2"/>
  <c r="B2703" i="2"/>
  <c r="B2532" i="2"/>
  <c r="B2379" i="2"/>
  <c r="B2288" i="2"/>
  <c r="B2240" i="2"/>
  <c r="B2197" i="2"/>
  <c r="B2155" i="2"/>
  <c r="B2112" i="2"/>
  <c r="B2069" i="2"/>
  <c r="B2027" i="2"/>
  <c r="B1984" i="2"/>
  <c r="B1941" i="2"/>
  <c r="B1899" i="2"/>
  <c r="B1856" i="2"/>
  <c r="B1813" i="2"/>
  <c r="B1771" i="2"/>
  <c r="B1728" i="2"/>
  <c r="B1685" i="2"/>
  <c r="B1643" i="2"/>
  <c r="B1600" i="2"/>
  <c r="B1557" i="2"/>
  <c r="B1515" i="2"/>
  <c r="B1472" i="2"/>
  <c r="B1429" i="2"/>
  <c r="B1387" i="2"/>
  <c r="B1344" i="2"/>
  <c r="B1301" i="2"/>
  <c r="B1259" i="2"/>
  <c r="B1216" i="2"/>
  <c r="B1175" i="2"/>
  <c r="B1153" i="2"/>
  <c r="B1132" i="2"/>
  <c r="B1111" i="2"/>
  <c r="B1089" i="2"/>
  <c r="B1068" i="2"/>
  <c r="B1047" i="2"/>
  <c r="B1025" i="2"/>
  <c r="B1004" i="2"/>
  <c r="B983" i="2"/>
  <c r="B961" i="2"/>
  <c r="B940" i="2"/>
  <c r="B919" i="2"/>
  <c r="B897" i="2"/>
  <c r="B876" i="2"/>
  <c r="B855" i="2"/>
  <c r="B833" i="2"/>
  <c r="B812" i="2"/>
  <c r="B791" i="2"/>
  <c r="B769" i="2"/>
  <c r="B748" i="2"/>
  <c r="B727" i="2"/>
  <c r="B705" i="2"/>
  <c r="B684" i="2"/>
  <c r="B663" i="2"/>
  <c r="B641" i="2"/>
  <c r="B620" i="2"/>
  <c r="B599" i="2"/>
  <c r="B577" i="2"/>
  <c r="B556" i="2"/>
  <c r="B535" i="2"/>
  <c r="B513" i="2"/>
  <c r="B492" i="2"/>
  <c r="B471" i="2"/>
  <c r="B449" i="2"/>
  <c r="B428" i="2"/>
  <c r="B407" i="2"/>
  <c r="B385" i="2"/>
  <c r="B364" i="2"/>
  <c r="B343" i="2"/>
  <c r="B321" i="2"/>
  <c r="B300" i="2"/>
  <c r="B279" i="2"/>
  <c r="B257" i="2"/>
  <c r="B236" i="2"/>
  <c r="B215" i="2"/>
  <c r="B193" i="2"/>
  <c r="B172" i="2"/>
  <c r="B151" i="2"/>
  <c r="B129" i="2"/>
  <c r="B108" i="2"/>
  <c r="B87" i="2"/>
  <c r="B65" i="2"/>
  <c r="B44" i="2"/>
  <c r="B23" i="2"/>
  <c r="B2" i="2"/>
  <c r="B4539" i="2"/>
  <c r="B3343" i="2"/>
  <c r="B3003" i="2"/>
  <c r="B2660" i="2"/>
  <c r="B2357" i="2"/>
  <c r="B2229" i="2"/>
  <c r="B2144" i="2"/>
  <c r="B2059" i="2"/>
  <c r="B1973" i="2"/>
  <c r="B1888" i="2"/>
  <c r="B1803" i="2"/>
  <c r="B1717" i="2"/>
  <c r="B1632" i="2"/>
  <c r="B1547" i="2"/>
  <c r="B1461" i="2"/>
  <c r="B1376" i="2"/>
  <c r="B1291" i="2"/>
  <c r="B1205" i="2"/>
  <c r="B1152" i="2"/>
  <c r="B1109" i="2"/>
  <c r="B1067" i="2"/>
  <c r="B1024" i="2"/>
  <c r="B981" i="2"/>
  <c r="B939" i="2"/>
  <c r="B896" i="2"/>
  <c r="B853" i="2"/>
  <c r="B811" i="2"/>
  <c r="B768" i="2"/>
  <c r="B725" i="2"/>
  <c r="B683" i="2"/>
  <c r="B640" i="2"/>
  <c r="B597" i="2"/>
  <c r="B555" i="2"/>
  <c r="B512" i="2"/>
  <c r="B448" i="2"/>
  <c r="B405" i="2"/>
  <c r="B363" i="2"/>
  <c r="B320" i="2"/>
  <c r="B277" i="2"/>
  <c r="B235" i="2"/>
  <c r="B192" i="2"/>
  <c r="B149" i="2"/>
  <c r="B85" i="2"/>
  <c r="B43" i="2"/>
  <c r="H4801" i="2"/>
  <c r="H4797" i="2"/>
  <c r="H4793" i="2"/>
  <c r="H4789" i="2"/>
  <c r="H4785" i="2"/>
  <c r="H4781" i="2"/>
  <c r="H4777" i="2"/>
  <c r="H4773" i="2"/>
  <c r="H4769" i="2"/>
  <c r="H4765" i="2"/>
  <c r="H4761" i="2"/>
  <c r="H4757" i="2"/>
  <c r="H4753" i="2"/>
  <c r="H4749" i="2"/>
  <c r="H4745" i="2"/>
  <c r="H4741" i="2"/>
  <c r="H4737" i="2"/>
  <c r="H4733" i="2"/>
  <c r="H4729" i="2"/>
  <c r="H4725" i="2"/>
  <c r="H4721" i="2"/>
  <c r="H4717" i="2"/>
  <c r="H4713" i="2"/>
  <c r="H4709" i="2"/>
  <c r="H4705" i="2"/>
  <c r="H4701" i="2"/>
  <c r="H4697" i="2"/>
  <c r="H4693" i="2"/>
  <c r="H4689" i="2"/>
  <c r="H4685" i="2"/>
  <c r="H4681" i="2"/>
  <c r="H4677" i="2"/>
  <c r="H4673" i="2"/>
  <c r="H4669" i="2"/>
  <c r="H4665" i="2"/>
  <c r="H4661" i="2"/>
  <c r="H4657" i="2"/>
  <c r="H4653" i="2"/>
  <c r="H4649" i="2"/>
  <c r="H4645" i="2"/>
  <c r="H4641" i="2"/>
  <c r="H4637" i="2"/>
  <c r="H4633" i="2"/>
  <c r="H4629" i="2"/>
  <c r="H4625" i="2"/>
  <c r="H4621" i="2"/>
  <c r="H4617" i="2"/>
  <c r="H4613" i="2"/>
  <c r="H4609" i="2"/>
  <c r="H4605" i="2"/>
  <c r="H4601" i="2"/>
  <c r="H4597" i="2"/>
  <c r="H4593" i="2"/>
  <c r="H4589" i="2"/>
  <c r="H4585" i="2"/>
  <c r="H4581" i="2"/>
  <c r="H4577" i="2"/>
  <c r="H4573" i="2"/>
  <c r="H4569" i="2"/>
  <c r="H4565" i="2"/>
  <c r="H4561" i="2"/>
  <c r="H4557" i="2"/>
  <c r="H4553" i="2"/>
  <c r="H4549" i="2"/>
  <c r="H4545" i="2"/>
  <c r="H4541" i="2"/>
  <c r="H4537" i="2"/>
  <c r="H4533" i="2"/>
  <c r="H4529" i="2"/>
  <c r="H4525" i="2"/>
  <c r="H4521" i="2"/>
  <c r="H4517" i="2"/>
  <c r="H4513" i="2"/>
  <c r="H4509" i="2"/>
  <c r="H4505" i="2"/>
  <c r="H4501" i="2"/>
  <c r="H4497" i="2"/>
  <c r="H4493" i="2"/>
  <c r="H4489" i="2"/>
  <c r="H4485" i="2"/>
  <c r="H4481" i="2"/>
  <c r="H4477" i="2"/>
  <c r="H4473" i="2"/>
  <c r="H4798" i="2"/>
  <c r="H4792" i="2"/>
  <c r="H4787" i="2"/>
  <c r="H4782" i="2"/>
  <c r="H4776" i="2"/>
  <c r="H4771" i="2"/>
  <c r="H4766" i="2"/>
  <c r="H4760" i="2"/>
  <c r="H4755" i="2"/>
  <c r="H4750" i="2"/>
  <c r="H4744" i="2"/>
  <c r="H4739" i="2"/>
  <c r="H4734" i="2"/>
  <c r="H4728" i="2"/>
  <c r="H4723" i="2"/>
  <c r="H4718" i="2"/>
  <c r="H4712" i="2"/>
  <c r="H4707" i="2"/>
  <c r="H4702" i="2"/>
  <c r="H4696" i="2"/>
  <c r="H4691" i="2"/>
  <c r="H4686" i="2"/>
  <c r="H4680" i="2"/>
  <c r="H4675" i="2"/>
  <c r="H4670" i="2"/>
  <c r="H4664" i="2"/>
  <c r="H4659" i="2"/>
  <c r="H4654" i="2"/>
  <c r="H4648" i="2"/>
  <c r="H4643" i="2"/>
  <c r="H4638" i="2"/>
  <c r="H4632" i="2"/>
  <c r="H4627" i="2"/>
  <c r="H4622" i="2"/>
  <c r="H4616" i="2"/>
  <c r="H4611" i="2"/>
  <c r="H4606" i="2"/>
  <c r="H4600" i="2"/>
  <c r="H4595" i="2"/>
  <c r="H4590" i="2"/>
  <c r="H4584" i="2"/>
  <c r="H4579" i="2"/>
  <c r="H4574" i="2"/>
  <c r="H4568" i="2"/>
  <c r="H4563" i="2"/>
  <c r="H4558" i="2"/>
  <c r="H4552" i="2"/>
  <c r="H4547" i="2"/>
  <c r="H4542" i="2"/>
  <c r="H4536" i="2"/>
  <c r="H4531" i="2"/>
  <c r="H4526" i="2"/>
  <c r="H4520" i="2"/>
  <c r="H4515" i="2"/>
  <c r="H4510" i="2"/>
  <c r="H4504" i="2"/>
  <c r="H4499" i="2"/>
  <c r="H4494" i="2"/>
  <c r="H4488" i="2"/>
  <c r="H4483" i="2"/>
  <c r="H4478" i="2"/>
  <c r="H4472" i="2"/>
  <c r="H4468" i="2"/>
  <c r="H4464" i="2"/>
  <c r="H4460" i="2"/>
  <c r="H4456" i="2"/>
  <c r="H4452" i="2"/>
  <c r="H4448" i="2"/>
  <c r="H4444" i="2"/>
  <c r="H4440" i="2"/>
  <c r="H4436" i="2"/>
  <c r="H4432" i="2"/>
  <c r="H4428" i="2"/>
  <c r="H4424" i="2"/>
  <c r="H4420" i="2"/>
  <c r="H4416" i="2"/>
  <c r="H4412" i="2"/>
  <c r="H4408" i="2"/>
  <c r="H4404" i="2"/>
  <c r="H4400" i="2"/>
  <c r="H4396" i="2"/>
  <c r="H4392" i="2"/>
  <c r="H4388" i="2"/>
  <c r="H4384" i="2"/>
  <c r="H4796" i="2"/>
  <c r="H4791" i="2"/>
  <c r="H4786" i="2"/>
  <c r="H4780" i="2"/>
  <c r="H4775" i="2"/>
  <c r="H4770" i="2"/>
  <c r="H4764" i="2"/>
  <c r="H4759" i="2"/>
  <c r="H4754" i="2"/>
  <c r="H4748" i="2"/>
  <c r="H4743" i="2"/>
  <c r="H4738" i="2"/>
  <c r="H4732" i="2"/>
  <c r="H4727" i="2"/>
  <c r="H4722" i="2"/>
  <c r="H4716" i="2"/>
  <c r="H4711" i="2"/>
  <c r="H4706" i="2"/>
  <c r="H4700" i="2"/>
  <c r="H4695" i="2"/>
  <c r="H4690" i="2"/>
  <c r="H4684" i="2"/>
  <c r="H4679" i="2"/>
  <c r="H4674" i="2"/>
  <c r="H4668" i="2"/>
  <c r="H4663" i="2"/>
  <c r="H4658" i="2"/>
  <c r="H4652" i="2"/>
  <c r="H4647" i="2"/>
  <c r="H4642" i="2"/>
  <c r="H4636" i="2"/>
  <c r="H4631" i="2"/>
  <c r="H4626" i="2"/>
  <c r="H4620" i="2"/>
  <c r="H4615" i="2"/>
  <c r="H4799" i="2"/>
  <c r="H4788" i="2"/>
  <c r="H4778" i="2"/>
  <c r="H4767" i="2"/>
  <c r="H4756" i="2"/>
  <c r="H4746" i="2"/>
  <c r="H4735" i="2"/>
  <c r="H4724" i="2"/>
  <c r="H4714" i="2"/>
  <c r="H4703" i="2"/>
  <c r="H4692" i="2"/>
  <c r="H4682" i="2"/>
  <c r="H4671" i="2"/>
  <c r="H4660" i="2"/>
  <c r="H4650" i="2"/>
  <c r="H4639" i="2"/>
  <c r="H4628" i="2"/>
  <c r="H4618" i="2"/>
  <c r="H4608" i="2"/>
  <c r="H4602" i="2"/>
  <c r="H4594" i="2"/>
  <c r="H4587" i="2"/>
  <c r="H4580" i="2"/>
  <c r="H4572" i="2"/>
  <c r="H4566" i="2"/>
  <c r="H4559" i="2"/>
  <c r="H4551" i="2"/>
  <c r="H4544" i="2"/>
  <c r="H4538" i="2"/>
  <c r="H4530" i="2"/>
  <c r="H4523" i="2"/>
  <c r="H4516" i="2"/>
  <c r="H4508" i="2"/>
  <c r="H4502" i="2"/>
  <c r="H4495" i="2"/>
  <c r="H4487" i="2"/>
  <c r="H4480" i="2"/>
  <c r="H4474" i="2"/>
  <c r="H4467" i="2"/>
  <c r="H4462" i="2"/>
  <c r="H4457" i="2"/>
  <c r="H4451" i="2"/>
  <c r="H4446" i="2"/>
  <c r="H4441" i="2"/>
  <c r="H4435" i="2"/>
  <c r="H4430" i="2"/>
  <c r="H4425" i="2"/>
  <c r="H4419" i="2"/>
  <c r="H4414" i="2"/>
  <c r="H4409" i="2"/>
  <c r="H4403" i="2"/>
  <c r="H4398" i="2"/>
  <c r="H4393" i="2"/>
  <c r="H4387" i="2"/>
  <c r="H4382" i="2"/>
  <c r="H4378" i="2"/>
  <c r="H4374" i="2"/>
  <c r="H4370" i="2"/>
  <c r="H4366" i="2"/>
  <c r="H4362" i="2"/>
  <c r="H4358" i="2"/>
  <c r="H4354" i="2"/>
  <c r="H4350" i="2"/>
  <c r="H4346" i="2"/>
  <c r="H4342" i="2"/>
  <c r="H4338" i="2"/>
  <c r="H4334" i="2"/>
  <c r="H4330" i="2"/>
  <c r="H4326" i="2"/>
  <c r="H4322" i="2"/>
  <c r="H4318" i="2"/>
  <c r="H4314" i="2"/>
  <c r="H4310" i="2"/>
  <c r="H4306" i="2"/>
  <c r="H4302" i="2"/>
  <c r="H4298" i="2"/>
  <c r="H4294" i="2"/>
  <c r="H4290" i="2"/>
  <c r="H4286" i="2"/>
  <c r="H4282" i="2"/>
  <c r="H4278" i="2"/>
  <c r="H4274" i="2"/>
  <c r="H4270" i="2"/>
  <c r="H4266" i="2"/>
  <c r="H4262" i="2"/>
  <c r="H4258" i="2"/>
  <c r="H4254" i="2"/>
  <c r="H4250" i="2"/>
  <c r="H4246" i="2"/>
  <c r="H4242" i="2"/>
  <c r="H4238" i="2"/>
  <c r="H4234" i="2"/>
  <c r="H4230" i="2"/>
  <c r="H4226" i="2"/>
  <c r="H4222" i="2"/>
  <c r="H4218" i="2"/>
  <c r="H4214" i="2"/>
  <c r="H4210" i="2"/>
  <c r="H4206" i="2"/>
  <c r="H4202" i="2"/>
  <c r="H4198" i="2"/>
  <c r="H4194" i="2"/>
  <c r="H4190" i="2"/>
  <c r="H4186" i="2"/>
  <c r="H4182" i="2"/>
  <c r="H4178" i="2"/>
  <c r="H4174" i="2"/>
  <c r="H4170" i="2"/>
  <c r="H4166" i="2"/>
  <c r="H4162" i="2"/>
  <c r="H4158" i="2"/>
  <c r="H4154" i="2"/>
  <c r="H4150" i="2"/>
  <c r="H4146" i="2"/>
  <c r="H4142" i="2"/>
  <c r="H4138" i="2"/>
  <c r="H4134" i="2"/>
  <c r="H4130" i="2"/>
  <c r="H4126" i="2"/>
  <c r="H4122" i="2"/>
  <c r="H4118" i="2"/>
  <c r="H4114" i="2"/>
  <c r="H4110" i="2"/>
  <c r="H4106" i="2"/>
  <c r="H4102" i="2"/>
  <c r="H4098" i="2"/>
  <c r="H4094" i="2"/>
  <c r="H4090" i="2"/>
  <c r="H4086" i="2"/>
  <c r="H4082" i="2"/>
  <c r="H4078" i="2"/>
  <c r="H4074" i="2"/>
  <c r="H4070" i="2"/>
  <c r="H4066" i="2"/>
  <c r="H4062" i="2"/>
  <c r="H4058" i="2"/>
  <c r="H4054" i="2"/>
  <c r="H4050" i="2"/>
  <c r="H4046" i="2"/>
  <c r="H4042" i="2"/>
  <c r="H4038" i="2"/>
  <c r="H4034" i="2"/>
  <c r="H4030" i="2"/>
  <c r="H4026" i="2"/>
  <c r="H4022" i="2"/>
  <c r="H4018" i="2"/>
  <c r="H4014" i="2"/>
  <c r="H4010" i="2"/>
  <c r="H4006" i="2"/>
  <c r="H4002" i="2"/>
  <c r="H3998" i="2"/>
  <c r="H3994" i="2"/>
  <c r="H3990" i="2"/>
  <c r="H3986" i="2"/>
  <c r="H3982" i="2"/>
  <c r="H3978" i="2"/>
  <c r="H3974" i="2"/>
  <c r="H3970" i="2"/>
  <c r="H3966" i="2"/>
  <c r="H3962" i="2"/>
  <c r="H3958" i="2"/>
  <c r="H3954" i="2"/>
  <c r="H3950" i="2"/>
  <c r="H3946" i="2"/>
  <c r="H3942" i="2"/>
  <c r="H3938" i="2"/>
  <c r="H3934" i="2"/>
  <c r="H3930" i="2"/>
  <c r="H3926" i="2"/>
  <c r="H3922" i="2"/>
  <c r="H4794" i="2"/>
  <c r="H4779" i="2"/>
  <c r="H4763" i="2"/>
  <c r="H4751" i="2"/>
  <c r="H4736" i="2"/>
  <c r="H4720" i="2"/>
  <c r="H4708" i="2"/>
  <c r="H4694" i="2"/>
  <c r="H4678" i="2"/>
  <c r="H4666" i="2"/>
  <c r="H4651" i="2"/>
  <c r="H4635" i="2"/>
  <c r="H4623" i="2"/>
  <c r="H4610" i="2"/>
  <c r="H4599" i="2"/>
  <c r="H4591" i="2"/>
  <c r="H4582" i="2"/>
  <c r="H4571" i="2"/>
  <c r="H4562" i="2"/>
  <c r="H4554" i="2"/>
  <c r="H4543" i="2"/>
  <c r="H4534" i="2"/>
  <c r="H4524" i="2"/>
  <c r="H4514" i="2"/>
  <c r="H4506" i="2"/>
  <c r="H4496" i="2"/>
  <c r="H4486" i="2"/>
  <c r="H4476" i="2"/>
  <c r="H4469" i="2"/>
  <c r="H4461" i="2"/>
  <c r="H4454" i="2"/>
  <c r="H4447" i="2"/>
  <c r="H4439" i="2"/>
  <c r="H4433" i="2"/>
  <c r="H4426" i="2"/>
  <c r="H4418" i="2"/>
  <c r="H4411" i="2"/>
  <c r="H4405" i="2"/>
  <c r="H4397" i="2"/>
  <c r="H4390" i="2"/>
  <c r="H4383" i="2"/>
  <c r="H4377" i="2"/>
  <c r="H4372" i="2"/>
  <c r="H4367" i="2"/>
  <c r="H4361" i="2"/>
  <c r="H4356" i="2"/>
  <c r="H4351" i="2"/>
  <c r="H4345" i="2"/>
  <c r="H4340" i="2"/>
  <c r="H4335" i="2"/>
  <c r="H4329" i="2"/>
  <c r="H4324" i="2"/>
  <c r="H4319" i="2"/>
  <c r="H4313" i="2"/>
  <c r="H4308" i="2"/>
  <c r="H4303" i="2"/>
  <c r="H4297" i="2"/>
  <c r="H4292" i="2"/>
  <c r="H4287" i="2"/>
  <c r="H4281" i="2"/>
  <c r="H4276" i="2"/>
  <c r="H4271" i="2"/>
  <c r="H4265" i="2"/>
  <c r="H4260" i="2"/>
  <c r="H4255" i="2"/>
  <c r="H4249" i="2"/>
  <c r="H4244" i="2"/>
  <c r="H4239" i="2"/>
  <c r="H4233" i="2"/>
  <c r="H4228" i="2"/>
  <c r="H4223" i="2"/>
  <c r="H4217" i="2"/>
  <c r="H4212" i="2"/>
  <c r="H4207" i="2"/>
  <c r="H4201" i="2"/>
  <c r="H4196" i="2"/>
  <c r="H4191" i="2"/>
  <c r="H4185" i="2"/>
  <c r="H4180" i="2"/>
  <c r="H4175" i="2"/>
  <c r="H4169" i="2"/>
  <c r="H4164" i="2"/>
  <c r="H4159" i="2"/>
  <c r="H4153" i="2"/>
  <c r="H4148" i="2"/>
  <c r="H4143" i="2"/>
  <c r="H4137" i="2"/>
  <c r="H4132" i="2"/>
  <c r="H4127" i="2"/>
  <c r="H4121" i="2"/>
  <c r="H4116" i="2"/>
  <c r="H4111" i="2"/>
  <c r="H4105" i="2"/>
  <c r="H4100" i="2"/>
  <c r="H4095" i="2"/>
  <c r="H4089" i="2"/>
  <c r="H4084" i="2"/>
  <c r="H4079" i="2"/>
  <c r="H4073" i="2"/>
  <c r="H4068" i="2"/>
  <c r="H4063" i="2"/>
  <c r="H4057" i="2"/>
  <c r="H4052" i="2"/>
  <c r="H4047" i="2"/>
  <c r="H4041" i="2"/>
  <c r="H4036" i="2"/>
  <c r="H4031" i="2"/>
  <c r="H4025" i="2"/>
  <c r="H4020" i="2"/>
  <c r="H4015" i="2"/>
  <c r="H4009" i="2"/>
  <c r="H4004" i="2"/>
  <c r="H3999" i="2"/>
  <c r="H3993" i="2"/>
  <c r="H3988" i="2"/>
  <c r="H3983" i="2"/>
  <c r="H3977" i="2"/>
  <c r="H3972" i="2"/>
  <c r="H3967" i="2"/>
  <c r="H3961" i="2"/>
  <c r="H3956" i="2"/>
  <c r="H3951" i="2"/>
  <c r="H3945" i="2"/>
  <c r="H3940" i="2"/>
  <c r="H3935" i="2"/>
  <c r="H3929" i="2"/>
  <c r="H3924" i="2"/>
  <c r="H3919" i="2"/>
  <c r="H3915" i="2"/>
  <c r="H3911" i="2"/>
  <c r="H3907" i="2"/>
  <c r="H3903" i="2"/>
  <c r="H3899" i="2"/>
  <c r="H3895" i="2"/>
  <c r="H3891" i="2"/>
  <c r="H3887" i="2"/>
  <c r="H3883" i="2"/>
  <c r="H3879" i="2"/>
  <c r="H3875" i="2"/>
  <c r="H3871" i="2"/>
  <c r="H3867" i="2"/>
  <c r="H3863" i="2"/>
  <c r="H3859" i="2"/>
  <c r="H3855" i="2"/>
  <c r="H3851" i="2"/>
  <c r="H3847" i="2"/>
  <c r="H3843" i="2"/>
  <c r="H3839" i="2"/>
  <c r="H3835" i="2"/>
  <c r="H3831" i="2"/>
  <c r="H3827" i="2"/>
  <c r="H3823" i="2"/>
  <c r="H3819" i="2"/>
  <c r="H3815" i="2"/>
  <c r="H3811" i="2"/>
  <c r="H3807" i="2"/>
  <c r="H3803" i="2"/>
  <c r="H3799" i="2"/>
  <c r="H3795" i="2"/>
  <c r="H3791" i="2"/>
  <c r="H3787" i="2"/>
  <c r="H3783" i="2"/>
  <c r="H3779" i="2"/>
  <c r="H3775" i="2"/>
  <c r="H3771" i="2"/>
  <c r="H3767" i="2"/>
  <c r="H3763" i="2"/>
  <c r="H3759" i="2"/>
  <c r="H3755" i="2"/>
  <c r="H3751" i="2"/>
  <c r="H3747" i="2"/>
  <c r="H3743" i="2"/>
  <c r="H3739" i="2"/>
  <c r="H3735" i="2"/>
  <c r="H3731" i="2"/>
  <c r="H3727" i="2"/>
  <c r="H3723" i="2"/>
  <c r="H3719" i="2"/>
  <c r="H3715" i="2"/>
  <c r="H3711" i="2"/>
  <c r="H3707" i="2"/>
  <c r="H3703" i="2"/>
  <c r="H3699" i="2"/>
  <c r="H3695" i="2"/>
  <c r="H3691" i="2"/>
  <c r="H3687" i="2"/>
  <c r="H3683" i="2"/>
  <c r="H3679" i="2"/>
  <c r="H3675" i="2"/>
  <c r="H3671" i="2"/>
  <c r="H3667" i="2"/>
  <c r="H3663" i="2"/>
  <c r="H3659" i="2"/>
  <c r="H3655" i="2"/>
  <c r="H3651" i="2"/>
  <c r="H3647" i="2"/>
  <c r="H3643" i="2"/>
  <c r="H3639" i="2"/>
  <c r="H3635" i="2"/>
  <c r="H3631" i="2"/>
  <c r="H3627" i="2"/>
  <c r="H3623" i="2"/>
  <c r="H3619" i="2"/>
  <c r="H3615" i="2"/>
  <c r="H3611" i="2"/>
  <c r="H3607" i="2"/>
  <c r="H3603" i="2"/>
  <c r="H3599" i="2"/>
  <c r="H3595" i="2"/>
  <c r="H3591" i="2"/>
  <c r="H3587" i="2"/>
  <c r="H3583" i="2"/>
  <c r="H3579" i="2"/>
  <c r="H3575" i="2"/>
  <c r="H3571" i="2"/>
  <c r="H3567" i="2"/>
  <c r="H3563" i="2"/>
  <c r="H3559" i="2"/>
  <c r="H3555" i="2"/>
  <c r="H3551" i="2"/>
  <c r="H3547" i="2"/>
  <c r="H3543" i="2"/>
  <c r="H3539" i="2"/>
  <c r="H3535" i="2"/>
  <c r="H3531" i="2"/>
  <c r="H3527" i="2"/>
  <c r="H3523" i="2"/>
  <c r="H3519" i="2"/>
  <c r="H3515" i="2"/>
  <c r="H3511" i="2"/>
  <c r="H3507" i="2"/>
  <c r="H3503" i="2"/>
  <c r="H3499" i="2"/>
  <c r="H3495" i="2"/>
  <c r="H3491" i="2"/>
  <c r="H3487" i="2"/>
  <c r="H3483" i="2"/>
  <c r="H3479" i="2"/>
  <c r="H3475" i="2"/>
  <c r="H3471" i="2"/>
  <c r="H3467" i="2"/>
  <c r="H3463" i="2"/>
  <c r="H3459" i="2"/>
  <c r="H3455" i="2"/>
  <c r="H3451" i="2"/>
  <c r="H3447" i="2"/>
  <c r="H3443" i="2"/>
  <c r="H3439" i="2"/>
  <c r="H3435" i="2"/>
  <c r="H3431" i="2"/>
  <c r="H3427" i="2"/>
  <c r="H3423" i="2"/>
  <c r="H3419" i="2"/>
  <c r="H3415" i="2"/>
  <c r="H3411" i="2"/>
  <c r="H3407" i="2"/>
  <c r="H3403" i="2"/>
  <c r="H3399" i="2"/>
  <c r="H3395" i="2"/>
  <c r="H3391" i="2"/>
  <c r="H3387" i="2"/>
  <c r="H3383" i="2"/>
  <c r="H3379" i="2"/>
  <c r="H3375" i="2"/>
  <c r="H3371" i="2"/>
  <c r="H3367" i="2"/>
  <c r="H3363" i="2"/>
  <c r="H3359" i="2"/>
  <c r="H3355" i="2"/>
  <c r="H3351" i="2"/>
  <c r="H3347" i="2"/>
  <c r="H3343" i="2"/>
  <c r="H3339" i="2"/>
  <c r="H3335" i="2"/>
  <c r="H3331" i="2"/>
  <c r="H3327" i="2"/>
  <c r="H3323" i="2"/>
  <c r="H3319" i="2"/>
  <c r="H3315" i="2"/>
  <c r="H3311" i="2"/>
  <c r="H3307" i="2"/>
  <c r="H3303" i="2"/>
  <c r="H3299" i="2"/>
  <c r="H3295" i="2"/>
  <c r="H3291" i="2"/>
  <c r="H3287" i="2"/>
  <c r="H3283" i="2"/>
  <c r="H3279" i="2"/>
  <c r="H3275" i="2"/>
  <c r="H3271" i="2"/>
  <c r="H3267" i="2"/>
  <c r="H3263" i="2"/>
  <c r="H3259" i="2"/>
  <c r="H3255" i="2"/>
  <c r="H3251" i="2"/>
  <c r="H3247" i="2"/>
  <c r="H3243" i="2"/>
  <c r="H3239" i="2"/>
  <c r="H3235" i="2"/>
  <c r="H3231" i="2"/>
  <c r="H3227" i="2"/>
  <c r="H3223" i="2"/>
  <c r="H3219" i="2"/>
  <c r="H3215" i="2"/>
  <c r="H3211" i="2"/>
  <c r="H3207" i="2"/>
  <c r="H3203" i="2"/>
  <c r="H3199" i="2"/>
  <c r="H3195" i="2"/>
  <c r="H3191" i="2"/>
  <c r="H3187" i="2"/>
  <c r="H3183" i="2"/>
  <c r="H3179" i="2"/>
  <c r="H3175" i="2"/>
  <c r="H3171" i="2"/>
  <c r="H3167" i="2"/>
  <c r="H3163" i="2"/>
  <c r="H3159" i="2"/>
  <c r="H3155" i="2"/>
  <c r="H3151" i="2"/>
  <c r="H3147" i="2"/>
  <c r="H3143" i="2"/>
  <c r="H3139" i="2"/>
  <c r="H3135" i="2"/>
  <c r="H3131" i="2"/>
  <c r="H3127" i="2"/>
  <c r="H3123" i="2"/>
  <c r="H3119" i="2"/>
  <c r="H3115" i="2"/>
  <c r="H3111" i="2"/>
  <c r="H3107" i="2"/>
  <c r="H3103" i="2"/>
  <c r="H3099" i="2"/>
  <c r="H3095" i="2"/>
  <c r="H3091" i="2"/>
  <c r="H3087" i="2"/>
  <c r="H3083" i="2"/>
  <c r="H3079" i="2"/>
  <c r="H3075" i="2"/>
  <c r="H3071" i="2"/>
  <c r="H3067" i="2"/>
  <c r="H4790" i="2"/>
  <c r="H4774" i="2"/>
  <c r="H4762" i="2"/>
  <c r="H4747" i="2"/>
  <c r="H4731" i="2"/>
  <c r="H4719" i="2"/>
  <c r="H4704" i="2"/>
  <c r="H4688" i="2"/>
  <c r="H4676" i="2"/>
  <c r="H4662" i="2"/>
  <c r="H4646" i="2"/>
  <c r="H4634" i="2"/>
  <c r="H4619" i="2"/>
  <c r="H4607" i="2"/>
  <c r="H4598" i="2"/>
  <c r="H4588" i="2"/>
  <c r="H4578" i="2"/>
  <c r="H4570" i="2"/>
  <c r="H4560" i="2"/>
  <c r="H4550" i="2"/>
  <c r="H4540" i="2"/>
  <c r="H4532" i="2"/>
  <c r="H4522" i="2"/>
  <c r="H4512" i="2"/>
  <c r="H4503" i="2"/>
  <c r="H4492" i="2"/>
  <c r="H4484" i="2"/>
  <c r="H4475" i="2"/>
  <c r="H4466" i="2"/>
  <c r="H4459" i="2"/>
  <c r="H4453" i="2"/>
  <c r="H4445" i="2"/>
  <c r="H4438" i="2"/>
  <c r="H4431" i="2"/>
  <c r="H4423" i="2"/>
  <c r="H4417" i="2"/>
  <c r="H4410" i="2"/>
  <c r="H4402" i="2"/>
  <c r="H4395" i="2"/>
  <c r="H4389" i="2"/>
  <c r="H4381" i="2"/>
  <c r="H4376" i="2"/>
  <c r="H4371" i="2"/>
  <c r="H4365" i="2"/>
  <c r="H4360" i="2"/>
  <c r="H4355" i="2"/>
  <c r="H4349" i="2"/>
  <c r="H4344" i="2"/>
  <c r="H4339" i="2"/>
  <c r="H4333" i="2"/>
  <c r="H4328" i="2"/>
  <c r="H4323" i="2"/>
  <c r="H4317" i="2"/>
  <c r="H4312" i="2"/>
  <c r="H4307" i="2"/>
  <c r="H4301" i="2"/>
  <c r="H4296" i="2"/>
  <c r="H4291" i="2"/>
  <c r="H4285" i="2"/>
  <c r="H4280" i="2"/>
  <c r="H4275" i="2"/>
  <c r="H4269" i="2"/>
  <c r="H4264" i="2"/>
  <c r="H4259" i="2"/>
  <c r="H4253" i="2"/>
  <c r="H4248" i="2"/>
  <c r="H4243" i="2"/>
  <c r="H4237" i="2"/>
  <c r="H4232" i="2"/>
  <c r="H4783" i="2"/>
  <c r="H4752" i="2"/>
  <c r="H4726" i="2"/>
  <c r="H4698" i="2"/>
  <c r="H4667" i="2"/>
  <c r="H4640" i="2"/>
  <c r="H4612" i="2"/>
  <c r="H4592" i="2"/>
  <c r="H4575" i="2"/>
  <c r="H4555" i="2"/>
  <c r="H4535" i="2"/>
  <c r="H4518" i="2"/>
  <c r="H4498" i="2"/>
  <c r="H4479" i="2"/>
  <c r="H4463" i="2"/>
  <c r="H4449" i="2"/>
  <c r="H4434" i="2"/>
  <c r="H4421" i="2"/>
  <c r="H4406" i="2"/>
  <c r="H4391" i="2"/>
  <c r="H4379" i="2"/>
  <c r="H4368" i="2"/>
  <c r="H4357" i="2"/>
  <c r="H4347" i="2"/>
  <c r="H4336" i="2"/>
  <c r="H4325" i="2"/>
  <c r="H4315" i="2"/>
  <c r="H4304" i="2"/>
  <c r="H4293" i="2"/>
  <c r="H4283" i="2"/>
  <c r="H4272" i="2"/>
  <c r="H4261" i="2"/>
  <c r="H4251" i="2"/>
  <c r="H4240" i="2"/>
  <c r="H4229" i="2"/>
  <c r="H4221" i="2"/>
  <c r="H4215" i="2"/>
  <c r="H4208" i="2"/>
  <c r="H4200" i="2"/>
  <c r="H4193" i="2"/>
  <c r="H4187" i="2"/>
  <c r="H4179" i="2"/>
  <c r="H4172" i="2"/>
  <c r="H4165" i="2"/>
  <c r="H4157" i="2"/>
  <c r="H4151" i="2"/>
  <c r="H4144" i="2"/>
  <c r="H4136" i="2"/>
  <c r="H4129" i="2"/>
  <c r="H4123" i="2"/>
  <c r="H4115" i="2"/>
  <c r="H4108" i="2"/>
  <c r="H4101" i="2"/>
  <c r="H4093" i="2"/>
  <c r="H4087" i="2"/>
  <c r="H4080" i="2"/>
  <c r="H4072" i="2"/>
  <c r="H4065" i="2"/>
  <c r="H4059" i="2"/>
  <c r="H4051" i="2"/>
  <c r="H4044" i="2"/>
  <c r="H4037" i="2"/>
  <c r="H4029" i="2"/>
  <c r="H4023" i="2"/>
  <c r="H4016" i="2"/>
  <c r="H4008" i="2"/>
  <c r="H4001" i="2"/>
  <c r="H3995" i="2"/>
  <c r="H3987" i="2"/>
  <c r="H3980" i="2"/>
  <c r="H3973" i="2"/>
  <c r="H3965" i="2"/>
  <c r="H3959" i="2"/>
  <c r="H3952" i="2"/>
  <c r="H3944" i="2"/>
  <c r="H3937" i="2"/>
  <c r="H3931" i="2"/>
  <c r="H3923" i="2"/>
  <c r="H3917" i="2"/>
  <c r="H3912" i="2"/>
  <c r="H3906" i="2"/>
  <c r="H3901" i="2"/>
  <c r="H3896" i="2"/>
  <c r="H3890" i="2"/>
  <c r="H3885" i="2"/>
  <c r="H3880" i="2"/>
  <c r="H3874" i="2"/>
  <c r="H3869" i="2"/>
  <c r="H3864" i="2"/>
  <c r="H3858" i="2"/>
  <c r="H3853" i="2"/>
  <c r="H3848" i="2"/>
  <c r="H3842" i="2"/>
  <c r="H3837" i="2"/>
  <c r="H3832" i="2"/>
  <c r="H3826" i="2"/>
  <c r="H3821" i="2"/>
  <c r="H3816" i="2"/>
  <c r="H3810" i="2"/>
  <c r="H3805" i="2"/>
  <c r="H3800" i="2"/>
  <c r="H3794" i="2"/>
  <c r="H3789" i="2"/>
  <c r="H3784" i="2"/>
  <c r="H3778" i="2"/>
  <c r="H3773" i="2"/>
  <c r="H3768" i="2"/>
  <c r="H3762" i="2"/>
  <c r="H3757" i="2"/>
  <c r="H3752" i="2"/>
  <c r="H3746" i="2"/>
  <c r="H3741" i="2"/>
  <c r="H3736" i="2"/>
  <c r="H3730" i="2"/>
  <c r="H3725" i="2"/>
  <c r="H3720" i="2"/>
  <c r="H3714" i="2"/>
  <c r="H3709" i="2"/>
  <c r="H3704" i="2"/>
  <c r="H3698" i="2"/>
  <c r="H3693" i="2"/>
  <c r="H3688" i="2"/>
  <c r="H3682" i="2"/>
  <c r="H3677" i="2"/>
  <c r="H3672" i="2"/>
  <c r="H3666" i="2"/>
  <c r="H3661" i="2"/>
  <c r="H3656" i="2"/>
  <c r="H3650" i="2"/>
  <c r="H3645" i="2"/>
  <c r="H3640" i="2"/>
  <c r="H3634" i="2"/>
  <c r="H3629" i="2"/>
  <c r="H3624" i="2"/>
  <c r="H3618" i="2"/>
  <c r="H3613" i="2"/>
  <c r="H3608" i="2"/>
  <c r="H3602" i="2"/>
  <c r="H3597" i="2"/>
  <c r="H3592" i="2"/>
  <c r="H3586" i="2"/>
  <c r="H3581" i="2"/>
  <c r="H3576" i="2"/>
  <c r="H3570" i="2"/>
  <c r="H3565" i="2"/>
  <c r="H3560" i="2"/>
  <c r="H3554" i="2"/>
  <c r="H3549" i="2"/>
  <c r="H3544" i="2"/>
  <c r="H3538" i="2"/>
  <c r="H3533" i="2"/>
  <c r="H3528" i="2"/>
  <c r="H3522" i="2"/>
  <c r="H3517" i="2"/>
  <c r="H3512" i="2"/>
  <c r="H3506" i="2"/>
  <c r="H3501" i="2"/>
  <c r="H3496" i="2"/>
  <c r="H3490" i="2"/>
  <c r="H3485" i="2"/>
  <c r="H3480" i="2"/>
  <c r="H3474" i="2"/>
  <c r="H3469" i="2"/>
  <c r="H3464" i="2"/>
  <c r="H3458" i="2"/>
  <c r="H3453" i="2"/>
  <c r="H3448" i="2"/>
  <c r="H3442" i="2"/>
  <c r="H3437" i="2"/>
  <c r="H3432" i="2"/>
  <c r="H3426" i="2"/>
  <c r="H3421" i="2"/>
  <c r="H3416" i="2"/>
  <c r="H3410" i="2"/>
  <c r="H3405" i="2"/>
  <c r="H3400" i="2"/>
  <c r="H3394" i="2"/>
  <c r="H3389" i="2"/>
  <c r="H3384" i="2"/>
  <c r="H3378" i="2"/>
  <c r="H3373" i="2"/>
  <c r="H3368" i="2"/>
  <c r="H3362" i="2"/>
  <c r="H3357" i="2"/>
  <c r="H3352" i="2"/>
  <c r="H3346" i="2"/>
  <c r="H3341" i="2"/>
  <c r="H3336" i="2"/>
  <c r="H3330" i="2"/>
  <c r="H3325" i="2"/>
  <c r="H3320" i="2"/>
  <c r="H3314" i="2"/>
  <c r="H3309" i="2"/>
  <c r="H3304" i="2"/>
  <c r="H3298" i="2"/>
  <c r="H3293" i="2"/>
  <c r="H3288" i="2"/>
  <c r="H3282" i="2"/>
  <c r="H3277" i="2"/>
  <c r="H3272" i="2"/>
  <c r="H3266" i="2"/>
  <c r="H3261" i="2"/>
  <c r="H3256" i="2"/>
  <c r="H3250" i="2"/>
  <c r="H3245" i="2"/>
  <c r="H3240" i="2"/>
  <c r="H3234" i="2"/>
  <c r="H3229" i="2"/>
  <c r="H3224" i="2"/>
  <c r="H3218" i="2"/>
  <c r="H3213" i="2"/>
  <c r="H3208" i="2"/>
  <c r="H3202" i="2"/>
  <c r="H3197" i="2"/>
  <c r="H3192" i="2"/>
  <c r="H3186" i="2"/>
  <c r="H3181" i="2"/>
  <c r="H3176" i="2"/>
  <c r="H3170" i="2"/>
  <c r="H3165" i="2"/>
  <c r="H3160" i="2"/>
  <c r="H3154" i="2"/>
  <c r="H3149" i="2"/>
  <c r="H3144" i="2"/>
  <c r="H3138" i="2"/>
  <c r="H3133" i="2"/>
  <c r="H3128" i="2"/>
  <c r="H3122" i="2"/>
  <c r="H3117" i="2"/>
  <c r="H3112" i="2"/>
  <c r="H3106" i="2"/>
  <c r="H3101" i="2"/>
  <c r="H3096" i="2"/>
  <c r="H3090" i="2"/>
  <c r="H3085" i="2"/>
  <c r="H3080" i="2"/>
  <c r="H3074" i="2"/>
  <c r="H3069" i="2"/>
  <c r="H3064" i="2"/>
  <c r="H3060" i="2"/>
  <c r="H3056" i="2"/>
  <c r="H3052" i="2"/>
  <c r="H3048" i="2"/>
  <c r="H3044" i="2"/>
  <c r="H3040" i="2"/>
  <c r="H3036" i="2"/>
  <c r="H3032" i="2"/>
  <c r="H3028" i="2"/>
  <c r="H3024" i="2"/>
  <c r="H3020" i="2"/>
  <c r="H3016" i="2"/>
  <c r="H3012" i="2"/>
  <c r="H3008" i="2"/>
  <c r="H3004" i="2"/>
  <c r="H3000" i="2"/>
  <c r="H2996" i="2"/>
  <c r="H2992" i="2"/>
  <c r="H2988" i="2"/>
  <c r="H2984" i="2"/>
  <c r="H2980" i="2"/>
  <c r="H2976" i="2"/>
  <c r="H2972" i="2"/>
  <c r="H2968" i="2"/>
  <c r="H2964" i="2"/>
  <c r="H2960" i="2"/>
  <c r="H2956" i="2"/>
  <c r="H2952" i="2"/>
  <c r="H2948" i="2"/>
  <c r="H2944" i="2"/>
  <c r="H2940" i="2"/>
  <c r="H2936" i="2"/>
  <c r="H2932" i="2"/>
  <c r="H2928" i="2"/>
  <c r="H2924" i="2"/>
  <c r="H2920" i="2"/>
  <c r="H2916" i="2"/>
  <c r="H2912" i="2"/>
  <c r="H2908" i="2"/>
  <c r="H2904" i="2"/>
  <c r="H2900" i="2"/>
  <c r="H2896" i="2"/>
  <c r="H2892" i="2"/>
  <c r="H2888" i="2"/>
  <c r="H2884" i="2"/>
  <c r="H2880" i="2"/>
  <c r="H2876" i="2"/>
  <c r="H2872" i="2"/>
  <c r="H2868" i="2"/>
  <c r="H2864" i="2"/>
  <c r="H2860" i="2"/>
  <c r="H2856" i="2"/>
  <c r="H2852" i="2"/>
  <c r="H2848" i="2"/>
  <c r="H2844" i="2"/>
  <c r="H2840" i="2"/>
  <c r="H2836" i="2"/>
  <c r="H2832" i="2"/>
  <c r="H2828" i="2"/>
  <c r="H2824" i="2"/>
  <c r="H2820" i="2"/>
  <c r="H2816" i="2"/>
  <c r="H2812" i="2"/>
  <c r="H2808" i="2"/>
  <c r="H2804" i="2"/>
  <c r="H2800" i="2"/>
  <c r="H2796" i="2"/>
  <c r="H2792" i="2"/>
  <c r="H2788" i="2"/>
  <c r="H2784" i="2"/>
  <c r="H2780" i="2"/>
  <c r="H2776" i="2"/>
  <c r="H2772" i="2"/>
  <c r="H2768" i="2"/>
  <c r="H2764" i="2"/>
  <c r="H2760" i="2"/>
  <c r="H2756" i="2"/>
  <c r="H2752" i="2"/>
  <c r="H2748" i="2"/>
  <c r="H2744" i="2"/>
  <c r="H2740" i="2"/>
  <c r="H2736" i="2"/>
  <c r="H2732" i="2"/>
  <c r="H2728" i="2"/>
  <c r="H2724" i="2"/>
  <c r="H2720" i="2"/>
  <c r="H2716" i="2"/>
  <c r="H2712" i="2"/>
  <c r="H2708" i="2"/>
  <c r="H2704" i="2"/>
  <c r="H2700" i="2"/>
  <c r="H2696" i="2"/>
  <c r="H2692" i="2"/>
  <c r="H2688" i="2"/>
  <c r="H2684" i="2"/>
  <c r="H2680" i="2"/>
  <c r="H4800" i="2"/>
  <c r="H4772" i="2"/>
  <c r="H4742" i="2"/>
  <c r="H4715" i="2"/>
  <c r="H4687" i="2"/>
  <c r="H4656" i="2"/>
  <c r="H4630" i="2"/>
  <c r="H4604" i="2"/>
  <c r="H4586" i="2"/>
  <c r="H4567" i="2"/>
  <c r="H4548" i="2"/>
  <c r="H4528" i="2"/>
  <c r="H4511" i="2"/>
  <c r="H4491" i="2"/>
  <c r="H4471" i="2"/>
  <c r="H4458" i="2"/>
  <c r="H4443" i="2"/>
  <c r="H4429" i="2"/>
  <c r="H4415" i="2"/>
  <c r="H4401" i="2"/>
  <c r="H4386" i="2"/>
  <c r="H4375" i="2"/>
  <c r="H4364" i="2"/>
  <c r="H4353" i="2"/>
  <c r="H4343" i="2"/>
  <c r="H4332" i="2"/>
  <c r="H4321" i="2"/>
  <c r="H4311" i="2"/>
  <c r="H4300" i="2"/>
  <c r="H4289" i="2"/>
  <c r="H4279" i="2"/>
  <c r="H4268" i="2"/>
  <c r="H4257" i="2"/>
  <c r="H4247" i="2"/>
  <c r="H4236" i="2"/>
  <c r="H4227" i="2"/>
  <c r="H4220" i="2"/>
  <c r="H4213" i="2"/>
  <c r="H4205" i="2"/>
  <c r="H4199" i="2"/>
  <c r="H4192" i="2"/>
  <c r="H4184" i="2"/>
  <c r="H4177" i="2"/>
  <c r="H4171" i="2"/>
  <c r="H4163" i="2"/>
  <c r="H4156" i="2"/>
  <c r="H4149" i="2"/>
  <c r="H4141" i="2"/>
  <c r="H4135" i="2"/>
  <c r="H4128" i="2"/>
  <c r="H4120" i="2"/>
  <c r="H4113" i="2"/>
  <c r="H4107" i="2"/>
  <c r="H4099" i="2"/>
  <c r="H4092" i="2"/>
  <c r="H4085" i="2"/>
  <c r="H4077" i="2"/>
  <c r="H4071" i="2"/>
  <c r="H4064" i="2"/>
  <c r="H4056" i="2"/>
  <c r="H4049" i="2"/>
  <c r="H4043" i="2"/>
  <c r="H4035" i="2"/>
  <c r="H4028" i="2"/>
  <c r="H4021" i="2"/>
  <c r="H4013" i="2"/>
  <c r="H4007" i="2"/>
  <c r="H4000" i="2"/>
  <c r="H3992" i="2"/>
  <c r="H3985" i="2"/>
  <c r="H3979" i="2"/>
  <c r="H3971" i="2"/>
  <c r="H3964" i="2"/>
  <c r="H3957" i="2"/>
  <c r="H3949" i="2"/>
  <c r="H3943" i="2"/>
  <c r="H3936" i="2"/>
  <c r="H3928" i="2"/>
  <c r="H3921" i="2"/>
  <c r="H3916" i="2"/>
  <c r="H3910" i="2"/>
  <c r="H3905" i="2"/>
  <c r="H3900" i="2"/>
  <c r="H3894" i="2"/>
  <c r="H3889" i="2"/>
  <c r="H3884" i="2"/>
  <c r="H3878" i="2"/>
  <c r="H3873" i="2"/>
  <c r="H3868" i="2"/>
  <c r="H3862" i="2"/>
  <c r="H3857" i="2"/>
  <c r="H3852" i="2"/>
  <c r="H3846" i="2"/>
  <c r="H3841" i="2"/>
  <c r="H3836" i="2"/>
  <c r="H3830" i="2"/>
  <c r="H3825" i="2"/>
  <c r="H3820" i="2"/>
  <c r="H3814" i="2"/>
  <c r="H3809" i="2"/>
  <c r="H3804" i="2"/>
  <c r="H3798" i="2"/>
  <c r="H3793" i="2"/>
  <c r="H3788" i="2"/>
  <c r="H3782" i="2"/>
  <c r="H3777" i="2"/>
  <c r="H3772" i="2"/>
  <c r="H3766" i="2"/>
  <c r="H3761" i="2"/>
  <c r="H3756" i="2"/>
  <c r="H3750" i="2"/>
  <c r="H3745" i="2"/>
  <c r="H3740" i="2"/>
  <c r="H3734" i="2"/>
  <c r="H3729" i="2"/>
  <c r="H3724" i="2"/>
  <c r="H3718" i="2"/>
  <c r="H3713" i="2"/>
  <c r="H3708" i="2"/>
  <c r="H3702" i="2"/>
  <c r="H3697" i="2"/>
  <c r="H3692" i="2"/>
  <c r="H3686" i="2"/>
  <c r="H3681" i="2"/>
  <c r="H3676" i="2"/>
  <c r="H3670" i="2"/>
  <c r="H3665" i="2"/>
  <c r="H3660" i="2"/>
  <c r="H3654" i="2"/>
  <c r="H3649" i="2"/>
  <c r="H3644" i="2"/>
  <c r="H3638" i="2"/>
  <c r="H3633" i="2"/>
  <c r="H3628" i="2"/>
  <c r="H3622" i="2"/>
  <c r="H3617" i="2"/>
  <c r="H3612" i="2"/>
  <c r="H3606" i="2"/>
  <c r="H3601" i="2"/>
  <c r="H3596" i="2"/>
  <c r="H3590" i="2"/>
  <c r="H3585" i="2"/>
  <c r="H3580" i="2"/>
  <c r="H3574" i="2"/>
  <c r="H3569" i="2"/>
  <c r="H3564" i="2"/>
  <c r="H3558" i="2"/>
  <c r="H3553" i="2"/>
  <c r="H3548" i="2"/>
  <c r="H3542" i="2"/>
  <c r="H3537" i="2"/>
  <c r="H3532" i="2"/>
  <c r="H3526" i="2"/>
  <c r="H3521" i="2"/>
  <c r="H3516" i="2"/>
  <c r="H3510" i="2"/>
  <c r="H3505" i="2"/>
  <c r="H3500" i="2"/>
  <c r="H3494" i="2"/>
  <c r="H3489" i="2"/>
  <c r="H3484" i="2"/>
  <c r="H3478" i="2"/>
  <c r="H3473" i="2"/>
  <c r="H3468" i="2"/>
  <c r="H3462" i="2"/>
  <c r="H3457" i="2"/>
  <c r="H3452" i="2"/>
  <c r="H3446" i="2"/>
  <c r="H3441" i="2"/>
  <c r="H3436" i="2"/>
  <c r="H4758" i="2"/>
  <c r="H4699" i="2"/>
  <c r="H4644" i="2"/>
  <c r="H4596" i="2"/>
  <c r="H4556" i="2"/>
  <c r="H4519" i="2"/>
  <c r="H4482" i="2"/>
  <c r="H4450" i="2"/>
  <c r="H4422" i="2"/>
  <c r="H4394" i="2"/>
  <c r="H4369" i="2"/>
  <c r="H4348" i="2"/>
  <c r="H4327" i="2"/>
  <c r="H4305" i="2"/>
  <c r="H4284" i="2"/>
  <c r="H4263" i="2"/>
  <c r="H4241" i="2"/>
  <c r="H4224" i="2"/>
  <c r="H4209" i="2"/>
  <c r="H4195" i="2"/>
  <c r="H4181" i="2"/>
  <c r="H4167" i="2"/>
  <c r="H4152" i="2"/>
  <c r="H4139" i="2"/>
  <c r="H4124" i="2"/>
  <c r="H4109" i="2"/>
  <c r="H4096" i="2"/>
  <c r="H4081" i="2"/>
  <c r="H4067" i="2"/>
  <c r="H4053" i="2"/>
  <c r="H4039" i="2"/>
  <c r="H4024" i="2"/>
  <c r="H4011" i="2"/>
  <c r="H3996" i="2"/>
  <c r="H3981" i="2"/>
  <c r="H3968" i="2"/>
  <c r="H3953" i="2"/>
  <c r="H3939" i="2"/>
  <c r="H3925" i="2"/>
  <c r="H3913" i="2"/>
  <c r="H3902" i="2"/>
  <c r="H3892" i="2"/>
  <c r="H3881" i="2"/>
  <c r="H3870" i="2"/>
  <c r="H3860" i="2"/>
  <c r="H3849" i="2"/>
  <c r="H3838" i="2"/>
  <c r="H3828" i="2"/>
  <c r="H3817" i="2"/>
  <c r="H3806" i="2"/>
  <c r="H3796" i="2"/>
  <c r="H3785" i="2"/>
  <c r="H3774" i="2"/>
  <c r="H3764" i="2"/>
  <c r="H3753" i="2"/>
  <c r="H3742" i="2"/>
  <c r="H3732" i="2"/>
  <c r="H3721" i="2"/>
  <c r="H3710" i="2"/>
  <c r="H3700" i="2"/>
  <c r="H3689" i="2"/>
  <c r="H3678" i="2"/>
  <c r="H3668" i="2"/>
  <c r="H3657" i="2"/>
  <c r="H3646" i="2"/>
  <c r="H3636" i="2"/>
  <c r="H3625" i="2"/>
  <c r="H3614" i="2"/>
  <c r="H3604" i="2"/>
  <c r="H3593" i="2"/>
  <c r="H3582" i="2"/>
  <c r="H3572" i="2"/>
  <c r="H3561" i="2"/>
  <c r="H3550" i="2"/>
  <c r="H3540" i="2"/>
  <c r="H3529" i="2"/>
  <c r="H3518" i="2"/>
  <c r="H3508" i="2"/>
  <c r="H3497" i="2"/>
  <c r="H3486" i="2"/>
  <c r="H3476" i="2"/>
  <c r="H3465" i="2"/>
  <c r="H3454" i="2"/>
  <c r="H3444" i="2"/>
  <c r="H3433" i="2"/>
  <c r="H3425" i="2"/>
  <c r="H3418" i="2"/>
  <c r="H3412" i="2"/>
  <c r="H3404" i="2"/>
  <c r="H3397" i="2"/>
  <c r="H3390" i="2"/>
  <c r="H3382" i="2"/>
  <c r="H3376" i="2"/>
  <c r="H3369" i="2"/>
  <c r="H3361" i="2"/>
  <c r="H3354" i="2"/>
  <c r="H3348" i="2"/>
  <c r="H3340" i="2"/>
  <c r="H3333" i="2"/>
  <c r="H3326" i="2"/>
  <c r="H3318" i="2"/>
  <c r="H3312" i="2"/>
  <c r="H3305" i="2"/>
  <c r="H3297" i="2"/>
  <c r="H3290" i="2"/>
  <c r="H3284" i="2"/>
  <c r="H3276" i="2"/>
  <c r="H3269" i="2"/>
  <c r="H3262" i="2"/>
  <c r="H3254" i="2"/>
  <c r="H3248" i="2"/>
  <c r="H3241" i="2"/>
  <c r="H3233" i="2"/>
  <c r="H3226" i="2"/>
  <c r="H3220" i="2"/>
  <c r="H3212" i="2"/>
  <c r="H3205" i="2"/>
  <c r="H3198" i="2"/>
  <c r="H3190" i="2"/>
  <c r="H3184" i="2"/>
  <c r="H3177" i="2"/>
  <c r="H3169" i="2"/>
  <c r="H3162" i="2"/>
  <c r="H3156" i="2"/>
  <c r="H3148" i="2"/>
  <c r="H3141" i="2"/>
  <c r="H3134" i="2"/>
  <c r="H3126" i="2"/>
  <c r="H3120" i="2"/>
  <c r="H3113" i="2"/>
  <c r="H3105" i="2"/>
  <c r="H3098" i="2"/>
  <c r="H3092" i="2"/>
  <c r="H3084" i="2"/>
  <c r="H3077" i="2"/>
  <c r="H3070" i="2"/>
  <c r="H3063" i="2"/>
  <c r="H3058" i="2"/>
  <c r="H3053" i="2"/>
  <c r="H3047" i="2"/>
  <c r="H3042" i="2"/>
  <c r="H3037" i="2"/>
  <c r="H3031" i="2"/>
  <c r="H3026" i="2"/>
  <c r="H3021" i="2"/>
  <c r="H3015" i="2"/>
  <c r="H3010" i="2"/>
  <c r="H3005" i="2"/>
  <c r="H2999" i="2"/>
  <c r="H2994" i="2"/>
  <c r="H2989" i="2"/>
  <c r="H2983" i="2"/>
  <c r="H2978" i="2"/>
  <c r="H2973" i="2"/>
  <c r="H2967" i="2"/>
  <c r="H2962" i="2"/>
  <c r="H2957" i="2"/>
  <c r="H2951" i="2"/>
  <c r="H2946" i="2"/>
  <c r="H2941" i="2"/>
  <c r="H2935" i="2"/>
  <c r="H2930" i="2"/>
  <c r="H2925" i="2"/>
  <c r="H2919" i="2"/>
  <c r="H2914" i="2"/>
  <c r="H2909" i="2"/>
  <c r="H2903" i="2"/>
  <c r="H2898" i="2"/>
  <c r="H2893" i="2"/>
  <c r="H2887" i="2"/>
  <c r="H2882" i="2"/>
  <c r="H2877" i="2"/>
  <c r="H2871" i="2"/>
  <c r="H2866" i="2"/>
  <c r="H2861" i="2"/>
  <c r="H2855" i="2"/>
  <c r="H2850" i="2"/>
  <c r="H2845" i="2"/>
  <c r="H2839" i="2"/>
  <c r="H2834" i="2"/>
  <c r="H2829" i="2"/>
  <c r="H2823" i="2"/>
  <c r="H2818" i="2"/>
  <c r="H2813" i="2"/>
  <c r="H2807" i="2"/>
  <c r="H2802" i="2"/>
  <c r="H2797" i="2"/>
  <c r="H2791" i="2"/>
  <c r="H2786" i="2"/>
  <c r="H2781" i="2"/>
  <c r="H2775" i="2"/>
  <c r="H2770" i="2"/>
  <c r="H2765" i="2"/>
  <c r="H2759" i="2"/>
  <c r="H2754" i="2"/>
  <c r="H2749" i="2"/>
  <c r="H2743" i="2"/>
  <c r="H2738" i="2"/>
  <c r="H2733" i="2"/>
  <c r="H2727" i="2"/>
  <c r="H2722" i="2"/>
  <c r="H2717" i="2"/>
  <c r="H2711" i="2"/>
  <c r="H2706" i="2"/>
  <c r="H2701" i="2"/>
  <c r="H2695" i="2"/>
  <c r="H2690" i="2"/>
  <c r="H2685" i="2"/>
  <c r="H2679" i="2"/>
  <c r="H2675" i="2"/>
  <c r="H2671" i="2"/>
  <c r="H2667" i="2"/>
  <c r="H2663" i="2"/>
  <c r="H2659" i="2"/>
  <c r="H2655" i="2"/>
  <c r="H2651" i="2"/>
  <c r="H2647" i="2"/>
  <c r="H2643" i="2"/>
  <c r="H2639" i="2"/>
  <c r="H2635" i="2"/>
  <c r="H2631" i="2"/>
  <c r="H2627" i="2"/>
  <c r="H2623" i="2"/>
  <c r="H2619" i="2"/>
  <c r="H2615" i="2"/>
  <c r="H2611" i="2"/>
  <c r="H2607" i="2"/>
  <c r="H2603" i="2"/>
  <c r="H2599" i="2"/>
  <c r="H2595" i="2"/>
  <c r="H2591" i="2"/>
  <c r="H2587" i="2"/>
  <c r="H2583" i="2"/>
  <c r="H2579" i="2"/>
  <c r="H2575" i="2"/>
  <c r="H2571" i="2"/>
  <c r="H2567" i="2"/>
  <c r="H2563" i="2"/>
  <c r="H2559" i="2"/>
  <c r="H2555" i="2"/>
  <c r="H2551" i="2"/>
  <c r="H2547" i="2"/>
  <c r="H2543" i="2"/>
  <c r="H2539" i="2"/>
  <c r="H2535" i="2"/>
  <c r="H2531" i="2"/>
  <c r="H2527" i="2"/>
  <c r="H2523" i="2"/>
  <c r="H2519" i="2"/>
  <c r="H2515" i="2"/>
  <c r="H2511" i="2"/>
  <c r="H2507" i="2"/>
  <c r="H2503" i="2"/>
  <c r="H2499" i="2"/>
  <c r="H2495" i="2"/>
  <c r="H2491" i="2"/>
  <c r="H2487" i="2"/>
  <c r="H2483" i="2"/>
  <c r="H2479" i="2"/>
  <c r="H2475" i="2"/>
  <c r="H2471" i="2"/>
  <c r="H2467" i="2"/>
  <c r="H2463" i="2"/>
  <c r="H2459" i="2"/>
  <c r="H2455" i="2"/>
  <c r="H2451" i="2"/>
  <c r="H2447" i="2"/>
  <c r="H2443" i="2"/>
  <c r="H2439" i="2"/>
  <c r="H2435" i="2"/>
  <c r="H2431" i="2"/>
  <c r="H2427" i="2"/>
  <c r="H2423" i="2"/>
  <c r="H2419" i="2"/>
  <c r="H2415" i="2"/>
  <c r="H2411" i="2"/>
  <c r="H2407" i="2"/>
  <c r="H2403" i="2"/>
  <c r="H2399" i="2"/>
  <c r="H2395" i="2"/>
  <c r="H2391" i="2"/>
  <c r="H2387" i="2"/>
  <c r="H2383" i="2"/>
  <c r="H2379" i="2"/>
  <c r="H2375" i="2"/>
  <c r="H2371" i="2"/>
  <c r="H2367" i="2"/>
  <c r="H2363" i="2"/>
  <c r="H2359" i="2"/>
  <c r="H2355" i="2"/>
  <c r="H2351" i="2"/>
  <c r="H2347" i="2"/>
  <c r="H2343" i="2"/>
  <c r="H2339" i="2"/>
  <c r="H2335" i="2"/>
  <c r="H2331" i="2"/>
  <c r="H2327" i="2"/>
  <c r="H2323" i="2"/>
  <c r="H2319" i="2"/>
  <c r="H2315" i="2"/>
  <c r="H2311" i="2"/>
  <c r="H2307" i="2"/>
  <c r="H2303" i="2"/>
  <c r="H2299" i="2"/>
  <c r="H2295" i="2"/>
  <c r="H2291" i="2"/>
  <c r="H2287" i="2"/>
  <c r="H2283" i="2"/>
  <c r="H2279" i="2"/>
  <c r="H2275" i="2"/>
  <c r="H2271" i="2"/>
  <c r="H2267" i="2"/>
  <c r="H2263" i="2"/>
  <c r="H2259" i="2"/>
  <c r="H2255" i="2"/>
  <c r="H2251" i="2"/>
  <c r="H2247" i="2"/>
  <c r="H2243" i="2"/>
  <c r="H2239" i="2"/>
  <c r="H2235" i="2"/>
  <c r="H2231" i="2"/>
  <c r="H2227" i="2"/>
  <c r="H2223" i="2"/>
  <c r="H2219" i="2"/>
  <c r="H2215" i="2"/>
  <c r="H2211" i="2"/>
  <c r="H2207" i="2"/>
  <c r="H2203" i="2"/>
  <c r="H2199" i="2"/>
  <c r="H2195" i="2"/>
  <c r="H2191" i="2"/>
  <c r="H2187" i="2"/>
  <c r="H2183" i="2"/>
  <c r="H2179" i="2"/>
  <c r="H2175" i="2"/>
  <c r="H2171" i="2"/>
  <c r="H2167" i="2"/>
  <c r="H2163" i="2"/>
  <c r="H2159" i="2"/>
  <c r="H2155" i="2"/>
  <c r="H2151" i="2"/>
  <c r="H2147" i="2"/>
  <c r="H2143" i="2"/>
  <c r="H2139" i="2"/>
  <c r="H2135" i="2"/>
  <c r="H2131" i="2"/>
  <c r="H2127" i="2"/>
  <c r="H2123" i="2"/>
  <c r="H2119" i="2"/>
  <c r="H2115" i="2"/>
  <c r="H2111" i="2"/>
  <c r="H2107" i="2"/>
  <c r="H2103" i="2"/>
  <c r="H2099" i="2"/>
  <c r="H2095" i="2"/>
  <c r="H2091" i="2"/>
  <c r="H2087" i="2"/>
  <c r="H2083" i="2"/>
  <c r="H2079" i="2"/>
  <c r="H2075" i="2"/>
  <c r="H2071" i="2"/>
  <c r="H2067" i="2"/>
  <c r="H2063" i="2"/>
  <c r="H2059" i="2"/>
  <c r="H2055" i="2"/>
  <c r="H2051" i="2"/>
  <c r="H2047" i="2"/>
  <c r="H2043" i="2"/>
  <c r="H2039" i="2"/>
  <c r="H2035" i="2"/>
  <c r="H2031" i="2"/>
  <c r="H2027" i="2"/>
  <c r="H2023" i="2"/>
  <c r="H2019" i="2"/>
  <c r="H2015" i="2"/>
  <c r="H2011" i="2"/>
  <c r="H2007" i="2"/>
  <c r="H2003" i="2"/>
  <c r="H1999" i="2"/>
  <c r="H1995" i="2"/>
  <c r="H1991" i="2"/>
  <c r="H1987" i="2"/>
  <c r="H1983" i="2"/>
  <c r="H1979" i="2"/>
  <c r="H1975" i="2"/>
  <c r="H1971" i="2"/>
  <c r="H1967" i="2"/>
  <c r="H1963" i="2"/>
  <c r="H1959" i="2"/>
  <c r="H1955" i="2"/>
  <c r="H1951" i="2"/>
  <c r="H1947" i="2"/>
  <c r="H1943" i="2"/>
  <c r="H1939" i="2"/>
  <c r="H1935" i="2"/>
  <c r="H1931" i="2"/>
  <c r="H1927" i="2"/>
  <c r="H1923" i="2"/>
  <c r="H1919" i="2"/>
  <c r="H1915" i="2"/>
  <c r="H1911" i="2"/>
  <c r="H1907" i="2"/>
  <c r="H1903" i="2"/>
  <c r="H1899" i="2"/>
  <c r="H1895" i="2"/>
  <c r="H1891" i="2"/>
  <c r="H1887" i="2"/>
  <c r="H4795" i="2"/>
  <c r="H4740" i="2"/>
  <c r="H4683" i="2"/>
  <c r="H4624" i="2"/>
  <c r="H4583" i="2"/>
  <c r="H4546" i="2"/>
  <c r="H4507" i="2"/>
  <c r="H4470" i="2"/>
  <c r="H4442" i="2"/>
  <c r="H4413" i="2"/>
  <c r="H4385" i="2"/>
  <c r="H4363" i="2"/>
  <c r="H4341" i="2"/>
  <c r="H4320" i="2"/>
  <c r="H4299" i="2"/>
  <c r="H4277" i="2"/>
  <c r="H4256" i="2"/>
  <c r="H4235" i="2"/>
  <c r="H4219" i="2"/>
  <c r="H4204" i="2"/>
  <c r="H4189" i="2"/>
  <c r="H4176" i="2"/>
  <c r="H4161" i="2"/>
  <c r="H4147" i="2"/>
  <c r="H4133" i="2"/>
  <c r="H4119" i="2"/>
  <c r="H4104" i="2"/>
  <c r="H4091" i="2"/>
  <c r="H4076" i="2"/>
  <c r="H4061" i="2"/>
  <c r="H4048" i="2"/>
  <c r="H4033" i="2"/>
  <c r="H4019" i="2"/>
  <c r="H4005" i="2"/>
  <c r="H3991" i="2"/>
  <c r="H3976" i="2"/>
  <c r="H3963" i="2"/>
  <c r="H3948" i="2"/>
  <c r="H3933" i="2"/>
  <c r="H3920" i="2"/>
  <c r="H3909" i="2"/>
  <c r="H3898" i="2"/>
  <c r="H3888" i="2"/>
  <c r="H3877" i="2"/>
  <c r="H3866" i="2"/>
  <c r="H3856" i="2"/>
  <c r="H3845" i="2"/>
  <c r="H3834" i="2"/>
  <c r="H3824" i="2"/>
  <c r="H3813" i="2"/>
  <c r="H3802" i="2"/>
  <c r="H3792" i="2"/>
  <c r="H3781" i="2"/>
  <c r="H3770" i="2"/>
  <c r="H3760" i="2"/>
  <c r="H3749" i="2"/>
  <c r="H3738" i="2"/>
  <c r="H3728" i="2"/>
  <c r="H3717" i="2"/>
  <c r="H3706" i="2"/>
  <c r="H3696" i="2"/>
  <c r="H3685" i="2"/>
  <c r="H3674" i="2"/>
  <c r="H3664" i="2"/>
  <c r="H3653" i="2"/>
  <c r="H3642" i="2"/>
  <c r="H3632" i="2"/>
  <c r="H3621" i="2"/>
  <c r="H3610" i="2"/>
  <c r="H3600" i="2"/>
  <c r="H3589" i="2"/>
  <c r="H3578" i="2"/>
  <c r="H3568" i="2"/>
  <c r="H3557" i="2"/>
  <c r="H3546" i="2"/>
  <c r="H3536" i="2"/>
  <c r="H3525" i="2"/>
  <c r="H3514" i="2"/>
  <c r="H3504" i="2"/>
  <c r="H3493" i="2"/>
  <c r="H3482" i="2"/>
  <c r="H3472" i="2"/>
  <c r="H3461" i="2"/>
  <c r="H3450" i="2"/>
  <c r="H3440" i="2"/>
  <c r="H3430" i="2"/>
  <c r="H3424" i="2"/>
  <c r="H3417" i="2"/>
  <c r="H3409" i="2"/>
  <c r="H3402" i="2"/>
  <c r="H3396" i="2"/>
  <c r="H3388" i="2"/>
  <c r="H3381" i="2"/>
  <c r="H3374" i="2"/>
  <c r="H3366" i="2"/>
  <c r="H3360" i="2"/>
  <c r="H3353" i="2"/>
  <c r="H3345" i="2"/>
  <c r="H3338" i="2"/>
  <c r="H3332" i="2"/>
  <c r="H3324" i="2"/>
  <c r="H3317" i="2"/>
  <c r="H3310" i="2"/>
  <c r="H3302" i="2"/>
  <c r="H3296" i="2"/>
  <c r="H3289" i="2"/>
  <c r="H3281" i="2"/>
  <c r="H3274" i="2"/>
  <c r="H3268" i="2"/>
  <c r="H3260" i="2"/>
  <c r="H3253" i="2"/>
  <c r="H3246" i="2"/>
  <c r="H3238" i="2"/>
  <c r="H3232" i="2"/>
  <c r="H3225" i="2"/>
  <c r="H3217" i="2"/>
  <c r="H3210" i="2"/>
  <c r="H3204" i="2"/>
  <c r="H3196" i="2"/>
  <c r="H3189" i="2"/>
  <c r="H3182" i="2"/>
  <c r="H3174" i="2"/>
  <c r="H3168" i="2"/>
  <c r="H3161" i="2"/>
  <c r="H3153" i="2"/>
  <c r="H3146" i="2"/>
  <c r="H3140" i="2"/>
  <c r="H3132" i="2"/>
  <c r="H3125" i="2"/>
  <c r="H3118" i="2"/>
  <c r="H3110" i="2"/>
  <c r="H3104" i="2"/>
  <c r="H3097" i="2"/>
  <c r="H3089" i="2"/>
  <c r="H3082" i="2"/>
  <c r="H3076" i="2"/>
  <c r="H3068" i="2"/>
  <c r="H3062" i="2"/>
  <c r="H3057" i="2"/>
  <c r="H3051" i="2"/>
  <c r="H3046" i="2"/>
  <c r="H3041" i="2"/>
  <c r="H3035" i="2"/>
  <c r="H3030" i="2"/>
  <c r="H3025" i="2"/>
  <c r="H3019" i="2"/>
  <c r="H3014" i="2"/>
  <c r="H3009" i="2"/>
  <c r="H3003" i="2"/>
  <c r="H2998" i="2"/>
  <c r="H2993" i="2"/>
  <c r="H2987" i="2"/>
  <c r="H2982" i="2"/>
  <c r="H2977" i="2"/>
  <c r="H2971" i="2"/>
  <c r="H2966" i="2"/>
  <c r="H2961" i="2"/>
  <c r="H2955" i="2"/>
  <c r="H2950" i="2"/>
  <c r="H2945" i="2"/>
  <c r="H2939" i="2"/>
  <c r="H2934" i="2"/>
  <c r="H2929" i="2"/>
  <c r="H2923" i="2"/>
  <c r="H2918" i="2"/>
  <c r="H2913" i="2"/>
  <c r="H2907" i="2"/>
  <c r="H2902" i="2"/>
  <c r="H2897" i="2"/>
  <c r="H2891" i="2"/>
  <c r="H2886" i="2"/>
  <c r="H2881" i="2"/>
  <c r="H2875" i="2"/>
  <c r="H2870" i="2"/>
  <c r="H2865" i="2"/>
  <c r="H2859" i="2"/>
  <c r="H2854" i="2"/>
  <c r="H2849" i="2"/>
  <c r="H2843" i="2"/>
  <c r="H2838" i="2"/>
  <c r="H2833" i="2"/>
  <c r="H2827" i="2"/>
  <c r="H2822" i="2"/>
  <c r="H2817" i="2"/>
  <c r="H2811" i="2"/>
  <c r="H2806" i="2"/>
  <c r="H2801" i="2"/>
  <c r="H2795" i="2"/>
  <c r="H2790" i="2"/>
  <c r="H2785" i="2"/>
  <c r="H2779" i="2"/>
  <c r="H2774" i="2"/>
  <c r="H2769" i="2"/>
  <c r="H2763" i="2"/>
  <c r="H2758" i="2"/>
  <c r="H2753" i="2"/>
  <c r="H2747" i="2"/>
  <c r="H2742" i="2"/>
  <c r="H2737" i="2"/>
  <c r="H2731" i="2"/>
  <c r="H2726" i="2"/>
  <c r="H2721" i="2"/>
  <c r="H2715" i="2"/>
  <c r="H2710" i="2"/>
  <c r="H2705" i="2"/>
  <c r="H2699" i="2"/>
  <c r="H2694" i="2"/>
  <c r="H2689" i="2"/>
  <c r="H2683" i="2"/>
  <c r="H2678" i="2"/>
  <c r="H2674" i="2"/>
  <c r="H2670" i="2"/>
  <c r="H2666" i="2"/>
  <c r="H2662" i="2"/>
  <c r="H2658" i="2"/>
  <c r="H2654" i="2"/>
  <c r="H2650" i="2"/>
  <c r="H2646" i="2"/>
  <c r="H2642" i="2"/>
  <c r="H2638" i="2"/>
  <c r="H2634" i="2"/>
  <c r="H2630" i="2"/>
  <c r="H2626" i="2"/>
  <c r="H2622" i="2"/>
  <c r="H2618" i="2"/>
  <c r="H2614" i="2"/>
  <c r="H2610" i="2"/>
  <c r="H2606" i="2"/>
  <c r="H2602" i="2"/>
  <c r="H2598" i="2"/>
  <c r="H2594" i="2"/>
  <c r="H2590" i="2"/>
  <c r="H2586" i="2"/>
  <c r="H2582" i="2"/>
  <c r="H2578" i="2"/>
  <c r="H2574" i="2"/>
  <c r="H2570" i="2"/>
  <c r="H2566" i="2"/>
  <c r="H2562" i="2"/>
  <c r="H2558" i="2"/>
  <c r="H2554" i="2"/>
  <c r="H2550" i="2"/>
  <c r="H2546" i="2"/>
  <c r="H2542" i="2"/>
  <c r="H2538" i="2"/>
  <c r="H2534" i="2"/>
  <c r="H2530" i="2"/>
  <c r="H2526" i="2"/>
  <c r="H2522" i="2"/>
  <c r="H2518" i="2"/>
  <c r="H2514" i="2"/>
  <c r="H2510" i="2"/>
  <c r="H2506" i="2"/>
  <c r="H2502" i="2"/>
  <c r="H2498" i="2"/>
  <c r="H2494" i="2"/>
  <c r="H2490" i="2"/>
  <c r="H2486" i="2"/>
  <c r="H2482" i="2"/>
  <c r="H2478" i="2"/>
  <c r="H2474" i="2"/>
  <c r="H2470" i="2"/>
  <c r="H2466" i="2"/>
  <c r="H2462" i="2"/>
  <c r="H2458" i="2"/>
  <c r="H2454" i="2"/>
  <c r="H2450" i="2"/>
  <c r="H2446" i="2"/>
  <c r="H2442" i="2"/>
  <c r="H2438" i="2"/>
  <c r="H2434" i="2"/>
  <c r="H2430" i="2"/>
  <c r="H2426" i="2"/>
  <c r="H2422" i="2"/>
  <c r="H2418" i="2"/>
  <c r="H2414" i="2"/>
  <c r="H2410" i="2"/>
  <c r="H2406" i="2"/>
  <c r="H2402" i="2"/>
  <c r="H2398" i="2"/>
  <c r="H2394" i="2"/>
  <c r="H2390" i="2"/>
  <c r="H2386" i="2"/>
  <c r="H2382" i="2"/>
  <c r="H2378" i="2"/>
  <c r="H2374" i="2"/>
  <c r="H2370" i="2"/>
  <c r="H2366" i="2"/>
  <c r="H2362" i="2"/>
  <c r="H2358" i="2"/>
  <c r="H2354" i="2"/>
  <c r="H2350" i="2"/>
  <c r="H2346" i="2"/>
  <c r="H2342" i="2"/>
  <c r="H2338" i="2"/>
  <c r="H2334" i="2"/>
  <c r="H2330" i="2"/>
  <c r="H2326" i="2"/>
  <c r="H2322" i="2"/>
  <c r="H2318" i="2"/>
  <c r="H2314" i="2"/>
  <c r="H2310" i="2"/>
  <c r="H2306" i="2"/>
  <c r="H2302" i="2"/>
  <c r="H2298" i="2"/>
  <c r="H2294" i="2"/>
  <c r="H2290" i="2"/>
  <c r="H2286" i="2"/>
  <c r="H2282" i="2"/>
  <c r="H2278" i="2"/>
  <c r="H2274" i="2"/>
  <c r="H2270" i="2"/>
  <c r="H2266" i="2"/>
  <c r="H2262" i="2"/>
  <c r="H2258" i="2"/>
  <c r="H2254" i="2"/>
  <c r="H2250" i="2"/>
  <c r="H2246" i="2"/>
  <c r="H2242" i="2"/>
  <c r="H2238" i="2"/>
  <c r="H2234" i="2"/>
  <c r="H2230" i="2"/>
  <c r="H2226" i="2"/>
  <c r="H2222" i="2"/>
  <c r="H2218" i="2"/>
  <c r="H2214" i="2"/>
  <c r="H2210" i="2"/>
  <c r="H2206" i="2"/>
  <c r="H2202" i="2"/>
  <c r="H2198" i="2"/>
  <c r="H2194" i="2"/>
  <c r="H2190" i="2"/>
  <c r="H2186" i="2"/>
  <c r="H2182" i="2"/>
  <c r="H2178" i="2"/>
  <c r="H2174" i="2"/>
  <c r="H2170" i="2"/>
  <c r="H2166" i="2"/>
  <c r="H2162" i="2"/>
  <c r="H2158" i="2"/>
  <c r="H2154" i="2"/>
  <c r="H4710" i="2"/>
  <c r="H4603" i="2"/>
  <c r="H4527" i="2"/>
  <c r="H4455" i="2"/>
  <c r="H4399" i="2"/>
  <c r="H4352" i="2"/>
  <c r="H4309" i="2"/>
  <c r="H4267" i="2"/>
  <c r="H4225" i="2"/>
  <c r="H4197" i="2"/>
  <c r="H4168" i="2"/>
  <c r="H4140" i="2"/>
  <c r="H4112" i="2"/>
  <c r="H4083" i="2"/>
  <c r="H4055" i="2"/>
  <c r="H4027" i="2"/>
  <c r="H3997" i="2"/>
  <c r="H3969" i="2"/>
  <c r="H3941" i="2"/>
  <c r="H3914" i="2"/>
  <c r="H3893" i="2"/>
  <c r="H3872" i="2"/>
  <c r="H3850" i="2"/>
  <c r="H3829" i="2"/>
  <c r="H3808" i="2"/>
  <c r="H3786" i="2"/>
  <c r="H3765" i="2"/>
  <c r="H3744" i="2"/>
  <c r="H3722" i="2"/>
  <c r="H3701" i="2"/>
  <c r="H3680" i="2"/>
  <c r="H3658" i="2"/>
  <c r="H3637" i="2"/>
  <c r="H3616" i="2"/>
  <c r="H3594" i="2"/>
  <c r="H3573" i="2"/>
  <c r="H3552" i="2"/>
  <c r="H3530" i="2"/>
  <c r="H3509" i="2"/>
  <c r="H3488" i="2"/>
  <c r="H3466" i="2"/>
  <c r="H3445" i="2"/>
  <c r="H3428" i="2"/>
  <c r="H3413" i="2"/>
  <c r="H3398" i="2"/>
  <c r="H3385" i="2"/>
  <c r="H3370" i="2"/>
  <c r="H3356" i="2"/>
  <c r="H3342" i="2"/>
  <c r="H3328" i="2"/>
  <c r="H3313" i="2"/>
  <c r="H3300" i="2"/>
  <c r="H3285" i="2"/>
  <c r="H3270" i="2"/>
  <c r="H3257" i="2"/>
  <c r="H3242" i="2"/>
  <c r="H3228" i="2"/>
  <c r="H3214" i="2"/>
  <c r="H3200" i="2"/>
  <c r="H3185" i="2"/>
  <c r="H3172" i="2"/>
  <c r="H3157" i="2"/>
  <c r="H3142" i="2"/>
  <c r="H3129" i="2"/>
  <c r="H3114" i="2"/>
  <c r="H3100" i="2"/>
  <c r="H3086" i="2"/>
  <c r="H3072" i="2"/>
  <c r="H3059" i="2"/>
  <c r="H3049" i="2"/>
  <c r="H3038" i="2"/>
  <c r="H3027" i="2"/>
  <c r="H3017" i="2"/>
  <c r="H3006" i="2"/>
  <c r="H2995" i="2"/>
  <c r="H2985" i="2"/>
  <c r="H2974" i="2"/>
  <c r="H2963" i="2"/>
  <c r="H2953" i="2"/>
  <c r="H2942" i="2"/>
  <c r="H2931" i="2"/>
  <c r="H2921" i="2"/>
  <c r="H2910" i="2"/>
  <c r="H2899" i="2"/>
  <c r="H2889" i="2"/>
  <c r="H2878" i="2"/>
  <c r="H2867" i="2"/>
  <c r="H2857" i="2"/>
  <c r="H2846" i="2"/>
  <c r="H2835" i="2"/>
  <c r="H2825" i="2"/>
  <c r="H2814" i="2"/>
  <c r="H2803" i="2"/>
  <c r="H2793" i="2"/>
  <c r="H2782" i="2"/>
  <c r="H2771" i="2"/>
  <c r="H2761" i="2"/>
  <c r="H2750" i="2"/>
  <c r="H2739" i="2"/>
  <c r="H2729" i="2"/>
  <c r="H2718" i="2"/>
  <c r="H2707" i="2"/>
  <c r="H2697" i="2"/>
  <c r="H2686" i="2"/>
  <c r="H2676" i="2"/>
  <c r="H2668" i="2"/>
  <c r="H2660" i="2"/>
  <c r="H2652" i="2"/>
  <c r="H2644" i="2"/>
  <c r="H2636" i="2"/>
  <c r="H2628" i="2"/>
  <c r="H2620" i="2"/>
  <c r="H2612" i="2"/>
  <c r="H2604" i="2"/>
  <c r="H2596" i="2"/>
  <c r="H2588" i="2"/>
  <c r="H2580" i="2"/>
  <c r="H2572" i="2"/>
  <c r="H2564" i="2"/>
  <c r="H2556" i="2"/>
  <c r="H2548" i="2"/>
  <c r="H2540" i="2"/>
  <c r="H2532" i="2"/>
  <c r="H2524" i="2"/>
  <c r="H2516" i="2"/>
  <c r="H2508" i="2"/>
  <c r="H2500" i="2"/>
  <c r="H2492" i="2"/>
  <c r="H2484" i="2"/>
  <c r="H2476" i="2"/>
  <c r="H2468" i="2"/>
  <c r="H2460" i="2"/>
  <c r="H2452" i="2"/>
  <c r="H2444" i="2"/>
  <c r="H2436" i="2"/>
  <c r="H2428" i="2"/>
  <c r="H2420" i="2"/>
  <c r="H2412" i="2"/>
  <c r="H2404" i="2"/>
  <c r="H2396" i="2"/>
  <c r="H2388" i="2"/>
  <c r="H2380" i="2"/>
  <c r="H2372" i="2"/>
  <c r="H2364" i="2"/>
  <c r="H2356" i="2"/>
  <c r="H2348" i="2"/>
  <c r="H2340" i="2"/>
  <c r="H2332" i="2"/>
  <c r="H2324" i="2"/>
  <c r="H2316" i="2"/>
  <c r="H2308" i="2"/>
  <c r="H2300" i="2"/>
  <c r="H2292" i="2"/>
  <c r="H2284" i="2"/>
  <c r="H2276" i="2"/>
  <c r="H2268" i="2"/>
  <c r="H2260" i="2"/>
  <c r="H2252" i="2"/>
  <c r="H2244" i="2"/>
  <c r="H2236" i="2"/>
  <c r="H2228" i="2"/>
  <c r="H2220" i="2"/>
  <c r="H2212" i="2"/>
  <c r="H2204" i="2"/>
  <c r="H2196" i="2"/>
  <c r="H2188" i="2"/>
  <c r="H2180" i="2"/>
  <c r="H2172" i="2"/>
  <c r="H2164" i="2"/>
  <c r="H2156" i="2"/>
  <c r="H2149" i="2"/>
  <c r="H2144" i="2"/>
  <c r="H2138" i="2"/>
  <c r="H2133" i="2"/>
  <c r="H2128" i="2"/>
  <c r="H2122" i="2"/>
  <c r="H2117" i="2"/>
  <c r="H2112" i="2"/>
  <c r="H2106" i="2"/>
  <c r="H2101" i="2"/>
  <c r="H2096" i="2"/>
  <c r="H2090" i="2"/>
  <c r="H2085" i="2"/>
  <c r="H2080" i="2"/>
  <c r="H2074" i="2"/>
  <c r="H2069" i="2"/>
  <c r="H2064" i="2"/>
  <c r="H2058" i="2"/>
  <c r="H2053" i="2"/>
  <c r="H2048" i="2"/>
  <c r="H2042" i="2"/>
  <c r="H2037" i="2"/>
  <c r="H2032" i="2"/>
  <c r="H2026" i="2"/>
  <c r="H2021" i="2"/>
  <c r="H2016" i="2"/>
  <c r="H2010" i="2"/>
  <c r="H2005" i="2"/>
  <c r="H2000" i="2"/>
  <c r="H1994" i="2"/>
  <c r="H1989" i="2"/>
  <c r="H1984" i="2"/>
  <c r="H1978" i="2"/>
  <c r="H1973" i="2"/>
  <c r="H1968" i="2"/>
  <c r="H1962" i="2"/>
  <c r="H1957" i="2"/>
  <c r="H1952" i="2"/>
  <c r="H1946" i="2"/>
  <c r="H1941" i="2"/>
  <c r="H1936" i="2"/>
  <c r="H1930" i="2"/>
  <c r="H1925" i="2"/>
  <c r="H1920" i="2"/>
  <c r="H1914" i="2"/>
  <c r="H1909" i="2"/>
  <c r="H1904" i="2"/>
  <c r="H1898" i="2"/>
  <c r="H1893" i="2"/>
  <c r="H1888" i="2"/>
  <c r="H1883" i="2"/>
  <c r="H1879" i="2"/>
  <c r="H1875" i="2"/>
  <c r="H1871" i="2"/>
  <c r="H1867" i="2"/>
  <c r="H1863" i="2"/>
  <c r="H1859" i="2"/>
  <c r="H1855" i="2"/>
  <c r="H1851" i="2"/>
  <c r="H1847" i="2"/>
  <c r="H1843" i="2"/>
  <c r="H1839" i="2"/>
  <c r="H1835" i="2"/>
  <c r="H1831" i="2"/>
  <c r="H1827" i="2"/>
  <c r="H1823" i="2"/>
  <c r="H1819" i="2"/>
  <c r="H1815" i="2"/>
  <c r="H1811" i="2"/>
  <c r="H1807" i="2"/>
  <c r="H1803" i="2"/>
  <c r="H1799" i="2"/>
  <c r="H1795" i="2"/>
  <c r="H1791" i="2"/>
  <c r="H1787" i="2"/>
  <c r="H1783" i="2"/>
  <c r="H1779" i="2"/>
  <c r="H1775" i="2"/>
  <c r="H1771" i="2"/>
  <c r="H1767" i="2"/>
  <c r="H1763" i="2"/>
  <c r="H1759" i="2"/>
  <c r="H1755" i="2"/>
  <c r="H1751" i="2"/>
  <c r="H1747" i="2"/>
  <c r="H1743" i="2"/>
  <c r="H1739" i="2"/>
  <c r="H1735" i="2"/>
  <c r="H1731" i="2"/>
  <c r="H1727" i="2"/>
  <c r="H1723" i="2"/>
  <c r="H1719" i="2"/>
  <c r="H1715" i="2"/>
  <c r="H1711" i="2"/>
  <c r="H1707" i="2"/>
  <c r="H1703" i="2"/>
  <c r="H1699" i="2"/>
  <c r="H1695" i="2"/>
  <c r="H1691" i="2"/>
  <c r="H1687" i="2"/>
  <c r="H1683" i="2"/>
  <c r="H1679" i="2"/>
  <c r="H1675" i="2"/>
  <c r="H1671" i="2"/>
  <c r="H1667" i="2"/>
  <c r="H1663" i="2"/>
  <c r="H1659" i="2"/>
  <c r="H1655" i="2"/>
  <c r="H1651" i="2"/>
  <c r="H1647" i="2"/>
  <c r="H1643" i="2"/>
  <c r="H1639" i="2"/>
  <c r="H1635" i="2"/>
  <c r="H1631" i="2"/>
  <c r="H1627" i="2"/>
  <c r="H1623" i="2"/>
  <c r="H1619" i="2"/>
  <c r="H1615" i="2"/>
  <c r="H1611" i="2"/>
  <c r="H1607" i="2"/>
  <c r="H1603" i="2"/>
  <c r="H1599" i="2"/>
  <c r="H1595" i="2"/>
  <c r="H1591" i="2"/>
  <c r="H1587" i="2"/>
  <c r="H1583" i="2"/>
  <c r="H1579" i="2"/>
  <c r="H1575" i="2"/>
  <c r="H1571" i="2"/>
  <c r="H1567" i="2"/>
  <c r="H1563" i="2"/>
  <c r="H1559" i="2"/>
  <c r="H1555" i="2"/>
  <c r="H1551" i="2"/>
  <c r="H1547" i="2"/>
  <c r="H1543" i="2"/>
  <c r="H1539" i="2"/>
  <c r="H1535" i="2"/>
  <c r="H1531" i="2"/>
  <c r="H1527" i="2"/>
  <c r="H1523" i="2"/>
  <c r="H1519" i="2"/>
  <c r="H1515" i="2"/>
  <c r="H1511" i="2"/>
  <c r="H1507" i="2"/>
  <c r="H1503" i="2"/>
  <c r="H1499" i="2"/>
  <c r="H1495" i="2"/>
  <c r="H1491" i="2"/>
  <c r="H1487" i="2"/>
  <c r="H1483" i="2"/>
  <c r="H1479" i="2"/>
  <c r="H1475" i="2"/>
  <c r="H1471" i="2"/>
  <c r="H1467" i="2"/>
  <c r="H1463" i="2"/>
  <c r="H1459" i="2"/>
  <c r="H1455" i="2"/>
  <c r="H1451" i="2"/>
  <c r="H1447" i="2"/>
  <c r="H1443" i="2"/>
  <c r="H1439" i="2"/>
  <c r="H1435" i="2"/>
  <c r="H1431" i="2"/>
  <c r="H1427" i="2"/>
  <c r="H1423" i="2"/>
  <c r="H1419" i="2"/>
  <c r="H1415" i="2"/>
  <c r="H1411" i="2"/>
  <c r="H1407" i="2"/>
  <c r="H1403" i="2"/>
  <c r="H1399" i="2"/>
  <c r="H1395" i="2"/>
  <c r="H1391" i="2"/>
  <c r="H1387" i="2"/>
  <c r="H1383" i="2"/>
  <c r="H1379" i="2"/>
  <c r="H1375" i="2"/>
  <c r="H1371" i="2"/>
  <c r="H1367" i="2"/>
  <c r="H1363" i="2"/>
  <c r="H1359" i="2"/>
  <c r="H1355" i="2"/>
  <c r="H1351" i="2"/>
  <c r="H1347" i="2"/>
  <c r="H1343" i="2"/>
  <c r="H1339" i="2"/>
  <c r="H1335" i="2"/>
  <c r="H1331" i="2"/>
  <c r="H1327" i="2"/>
  <c r="H1323" i="2"/>
  <c r="H1319" i="2"/>
  <c r="H1315" i="2"/>
  <c r="H1311" i="2"/>
  <c r="H1307" i="2"/>
  <c r="H1303" i="2"/>
  <c r="H1299" i="2"/>
  <c r="H1295" i="2"/>
  <c r="H1291" i="2"/>
  <c r="H1287" i="2"/>
  <c r="H1283" i="2"/>
  <c r="H1279" i="2"/>
  <c r="H1275" i="2"/>
  <c r="H1271" i="2"/>
  <c r="H1267" i="2"/>
  <c r="H1263" i="2"/>
  <c r="H1259" i="2"/>
  <c r="H1255" i="2"/>
  <c r="H1251" i="2"/>
  <c r="H1247" i="2"/>
  <c r="H1243" i="2"/>
  <c r="H1239" i="2"/>
  <c r="H1235" i="2"/>
  <c r="H1231" i="2"/>
  <c r="H1227" i="2"/>
  <c r="H1223" i="2"/>
  <c r="H1219" i="2"/>
  <c r="H1215" i="2"/>
  <c r="H1211" i="2"/>
  <c r="H1207" i="2"/>
  <c r="H1203" i="2"/>
  <c r="H1199" i="2"/>
  <c r="H1195" i="2"/>
  <c r="H1191" i="2"/>
  <c r="H1187" i="2"/>
  <c r="H1183" i="2"/>
  <c r="H1179" i="2"/>
  <c r="H1175" i="2"/>
  <c r="H1171" i="2"/>
  <c r="H1167" i="2"/>
  <c r="H1163" i="2"/>
  <c r="H1159" i="2"/>
  <c r="H1155" i="2"/>
  <c r="H1151" i="2"/>
  <c r="H1147" i="2"/>
  <c r="H1143" i="2"/>
  <c r="H1139" i="2"/>
  <c r="H1135" i="2"/>
  <c r="H1131" i="2"/>
  <c r="H1127" i="2"/>
  <c r="H1123" i="2"/>
  <c r="H1119" i="2"/>
  <c r="H1115" i="2"/>
  <c r="H1111" i="2"/>
  <c r="H1107" i="2"/>
  <c r="H1103" i="2"/>
  <c r="H1099" i="2"/>
  <c r="H1095" i="2"/>
  <c r="H1091" i="2"/>
  <c r="H1087" i="2"/>
  <c r="H1083" i="2"/>
  <c r="H1079" i="2"/>
  <c r="H1075" i="2"/>
  <c r="H1071" i="2"/>
  <c r="H1067" i="2"/>
  <c r="H1063" i="2"/>
  <c r="H1059" i="2"/>
  <c r="H1055" i="2"/>
  <c r="H1051" i="2"/>
  <c r="H1047" i="2"/>
  <c r="H1043" i="2"/>
  <c r="H1039" i="2"/>
  <c r="H1035" i="2"/>
  <c r="H1031" i="2"/>
  <c r="H1027" i="2"/>
  <c r="H1023" i="2"/>
  <c r="H1019" i="2"/>
  <c r="H1015" i="2"/>
  <c r="H1011" i="2"/>
  <c r="H1007" i="2"/>
  <c r="H1003" i="2"/>
  <c r="H999" i="2"/>
  <c r="H995" i="2"/>
  <c r="H991" i="2"/>
  <c r="H987" i="2"/>
  <c r="H983" i="2"/>
  <c r="H979" i="2"/>
  <c r="H975" i="2"/>
  <c r="H971" i="2"/>
  <c r="H967" i="2"/>
  <c r="H963" i="2"/>
  <c r="H959" i="2"/>
  <c r="H955" i="2"/>
  <c r="H951" i="2"/>
  <c r="H947" i="2"/>
  <c r="H943" i="2"/>
  <c r="H939" i="2"/>
  <c r="H935" i="2"/>
  <c r="H931" i="2"/>
  <c r="H927" i="2"/>
  <c r="H923" i="2"/>
  <c r="H919" i="2"/>
  <c r="H915" i="2"/>
  <c r="H911" i="2"/>
  <c r="H907" i="2"/>
  <c r="H903" i="2"/>
  <c r="H899" i="2"/>
  <c r="H895" i="2"/>
  <c r="H891" i="2"/>
  <c r="H887" i="2"/>
  <c r="H883" i="2"/>
  <c r="H879" i="2"/>
  <c r="H875" i="2"/>
  <c r="H871" i="2"/>
  <c r="H867" i="2"/>
  <c r="H863" i="2"/>
  <c r="H859" i="2"/>
  <c r="H855" i="2"/>
  <c r="H851" i="2"/>
  <c r="H847" i="2"/>
  <c r="H843" i="2"/>
  <c r="H839" i="2"/>
  <c r="H835" i="2"/>
  <c r="H831" i="2"/>
  <c r="H827" i="2"/>
  <c r="H823" i="2"/>
  <c r="H819" i="2"/>
  <c r="H815" i="2"/>
  <c r="H811" i="2"/>
  <c r="H807" i="2"/>
  <c r="H803" i="2"/>
  <c r="H799" i="2"/>
  <c r="H795" i="2"/>
  <c r="H791" i="2"/>
  <c r="H787" i="2"/>
  <c r="H783" i="2"/>
  <c r="H779" i="2"/>
  <c r="H775" i="2"/>
  <c r="H771" i="2"/>
  <c r="H767" i="2"/>
  <c r="H763" i="2"/>
  <c r="H759" i="2"/>
  <c r="H755" i="2"/>
  <c r="H751" i="2"/>
  <c r="H747" i="2"/>
  <c r="H743" i="2"/>
  <c r="H739" i="2"/>
  <c r="H735" i="2"/>
  <c r="H731" i="2"/>
  <c r="H727" i="2"/>
  <c r="H723" i="2"/>
  <c r="H719" i="2"/>
  <c r="H715" i="2"/>
  <c r="H711" i="2"/>
  <c r="H707" i="2"/>
  <c r="H703" i="2"/>
  <c r="H699" i="2"/>
  <c r="H695" i="2"/>
  <c r="H691" i="2"/>
  <c r="H687" i="2"/>
  <c r="H683" i="2"/>
  <c r="H679" i="2"/>
  <c r="H675" i="2"/>
  <c r="H671" i="2"/>
  <c r="H667" i="2"/>
  <c r="H663" i="2"/>
  <c r="H659" i="2"/>
  <c r="H655" i="2"/>
  <c r="H651" i="2"/>
  <c r="H647" i="2"/>
  <c r="H643" i="2"/>
  <c r="H639" i="2"/>
  <c r="H635" i="2"/>
  <c r="H631" i="2"/>
  <c r="H627" i="2"/>
  <c r="H623" i="2"/>
  <c r="H619" i="2"/>
  <c r="H615" i="2"/>
  <c r="H611" i="2"/>
  <c r="H607" i="2"/>
  <c r="H603" i="2"/>
  <c r="H599" i="2"/>
  <c r="H595" i="2"/>
  <c r="H591" i="2"/>
  <c r="H587" i="2"/>
  <c r="H583" i="2"/>
  <c r="H579" i="2"/>
  <c r="H575" i="2"/>
  <c r="H571" i="2"/>
  <c r="H567" i="2"/>
  <c r="H563" i="2"/>
  <c r="H559" i="2"/>
  <c r="H555" i="2"/>
  <c r="H551" i="2"/>
  <c r="H547" i="2"/>
  <c r="H543" i="2"/>
  <c r="H539" i="2"/>
  <c r="H535" i="2"/>
  <c r="H531" i="2"/>
  <c r="H527" i="2"/>
  <c r="H523" i="2"/>
  <c r="H519" i="2"/>
  <c r="H515" i="2"/>
  <c r="H511" i="2"/>
  <c r="H507" i="2"/>
  <c r="H503" i="2"/>
  <c r="H499" i="2"/>
  <c r="H495" i="2"/>
  <c r="H491" i="2"/>
  <c r="H487" i="2"/>
  <c r="H483" i="2"/>
  <c r="H479" i="2"/>
  <c r="H475" i="2"/>
  <c r="H471" i="2"/>
  <c r="H467" i="2"/>
  <c r="H463" i="2"/>
  <c r="H459" i="2"/>
  <c r="H455" i="2"/>
  <c r="H451" i="2"/>
  <c r="H447" i="2"/>
  <c r="H443" i="2"/>
  <c r="H439" i="2"/>
  <c r="H435" i="2"/>
  <c r="H431" i="2"/>
  <c r="H427" i="2"/>
  <c r="H423" i="2"/>
  <c r="H419" i="2"/>
  <c r="H415" i="2"/>
  <c r="H411" i="2"/>
  <c r="H407" i="2"/>
  <c r="H403" i="2"/>
  <c r="H399" i="2"/>
  <c r="H395" i="2"/>
  <c r="H391" i="2"/>
  <c r="H387" i="2"/>
  <c r="H383" i="2"/>
  <c r="H379" i="2"/>
  <c r="H375" i="2"/>
  <c r="H371" i="2"/>
  <c r="H367" i="2"/>
  <c r="H363" i="2"/>
  <c r="H359" i="2"/>
  <c r="H355" i="2"/>
  <c r="H351" i="2"/>
  <c r="H347" i="2"/>
  <c r="H343" i="2"/>
  <c r="H339" i="2"/>
  <c r="H335" i="2"/>
  <c r="H331" i="2"/>
  <c r="H327" i="2"/>
  <c r="H323" i="2"/>
  <c r="H319" i="2"/>
  <c r="H315" i="2"/>
  <c r="H311" i="2"/>
  <c r="H307" i="2"/>
  <c r="H303" i="2"/>
  <c r="H299" i="2"/>
  <c r="H295" i="2"/>
  <c r="H291" i="2"/>
  <c r="H287" i="2"/>
  <c r="H283" i="2"/>
  <c r="H279" i="2"/>
  <c r="H275" i="2"/>
  <c r="H271" i="2"/>
  <c r="H267" i="2"/>
  <c r="H263" i="2"/>
  <c r="H259" i="2"/>
  <c r="H255" i="2"/>
  <c r="H251" i="2"/>
  <c r="H247" i="2"/>
  <c r="H243" i="2"/>
  <c r="H239" i="2"/>
  <c r="H235" i="2"/>
  <c r="H231" i="2"/>
  <c r="H227" i="2"/>
  <c r="H223" i="2"/>
  <c r="H219" i="2"/>
  <c r="H215" i="2"/>
  <c r="H211" i="2"/>
  <c r="H207" i="2"/>
  <c r="H203" i="2"/>
  <c r="H199" i="2"/>
  <c r="H195" i="2"/>
  <c r="H191" i="2"/>
  <c r="H187" i="2"/>
  <c r="H183" i="2"/>
  <c r="H179" i="2"/>
  <c r="H175" i="2"/>
  <c r="H171" i="2"/>
  <c r="H167" i="2"/>
  <c r="H163" i="2"/>
  <c r="H159" i="2"/>
  <c r="H155" i="2"/>
  <c r="H151" i="2"/>
  <c r="H147" i="2"/>
  <c r="H143" i="2"/>
  <c r="H139" i="2"/>
  <c r="H135" i="2"/>
  <c r="H131" i="2"/>
  <c r="H127" i="2"/>
  <c r="H123" i="2"/>
  <c r="H119" i="2"/>
  <c r="H115" i="2"/>
  <c r="H111" i="2"/>
  <c r="H107" i="2"/>
  <c r="H103" i="2"/>
  <c r="H99" i="2"/>
  <c r="H95" i="2"/>
  <c r="H91" i="2"/>
  <c r="H87" i="2"/>
  <c r="H83" i="2"/>
  <c r="H79" i="2"/>
  <c r="H75" i="2"/>
  <c r="H71" i="2"/>
  <c r="H67" i="2"/>
  <c r="H63" i="2"/>
  <c r="H59" i="2"/>
  <c r="H55" i="2"/>
  <c r="H51" i="2"/>
  <c r="H47" i="2"/>
  <c r="H43" i="2"/>
  <c r="H39" i="2"/>
  <c r="H4784" i="2"/>
  <c r="H4672" i="2"/>
  <c r="H4576" i="2"/>
  <c r="H4500" i="2"/>
  <c r="H4437" i="2"/>
  <c r="H4380" i="2"/>
  <c r="H4337" i="2"/>
  <c r="H4295" i="2"/>
  <c r="H4252" i="2"/>
  <c r="H4216" i="2"/>
  <c r="H4188" i="2"/>
  <c r="H4160" i="2"/>
  <c r="H4131" i="2"/>
  <c r="H4103" i="2"/>
  <c r="H4075" i="2"/>
  <c r="H4045" i="2"/>
  <c r="H4017" i="2"/>
  <c r="H3989" i="2"/>
  <c r="H3960" i="2"/>
  <c r="H3932" i="2"/>
  <c r="H3908" i="2"/>
  <c r="H3886" i="2"/>
  <c r="H3865" i="2"/>
  <c r="H3844" i="2"/>
  <c r="H3822" i="2"/>
  <c r="H3801" i="2"/>
  <c r="H3780" i="2"/>
  <c r="H3758" i="2"/>
  <c r="H3737" i="2"/>
  <c r="H3716" i="2"/>
  <c r="H3694" i="2"/>
  <c r="H3673" i="2"/>
  <c r="H3652" i="2"/>
  <c r="H3630" i="2"/>
  <c r="H3609" i="2"/>
  <c r="H3588" i="2"/>
  <c r="H3566" i="2"/>
  <c r="H3545" i="2"/>
  <c r="H3524" i="2"/>
  <c r="H3502" i="2"/>
  <c r="H3481" i="2"/>
  <c r="H3460" i="2"/>
  <c r="H3438" i="2"/>
  <c r="H3422" i="2"/>
  <c r="H3408" i="2"/>
  <c r="H3393" i="2"/>
  <c r="H3380" i="2"/>
  <c r="H3365" i="2"/>
  <c r="H3350" i="2"/>
  <c r="H3337" i="2"/>
  <c r="H3322" i="2"/>
  <c r="H3308" i="2"/>
  <c r="H3294" i="2"/>
  <c r="H3280" i="2"/>
  <c r="H3265" i="2"/>
  <c r="H3252" i="2"/>
  <c r="H3237" i="2"/>
  <c r="H3222" i="2"/>
  <c r="H3209" i="2"/>
  <c r="H3194" i="2"/>
  <c r="H3180" i="2"/>
  <c r="H3166" i="2"/>
  <c r="H3152" i="2"/>
  <c r="H3137" i="2"/>
  <c r="H3124" i="2"/>
  <c r="H3109" i="2"/>
  <c r="H3094" i="2"/>
  <c r="H3081" i="2"/>
  <c r="H3066" i="2"/>
  <c r="H3055" i="2"/>
  <c r="H3045" i="2"/>
  <c r="H3034" i="2"/>
  <c r="H3023" i="2"/>
  <c r="H3013" i="2"/>
  <c r="H3002" i="2"/>
  <c r="H2991" i="2"/>
  <c r="H2981" i="2"/>
  <c r="H2970" i="2"/>
  <c r="H2959" i="2"/>
  <c r="H2949" i="2"/>
  <c r="H2938" i="2"/>
  <c r="H2927" i="2"/>
  <c r="H2917" i="2"/>
  <c r="H2906" i="2"/>
  <c r="H2895" i="2"/>
  <c r="H2885" i="2"/>
  <c r="H2874" i="2"/>
  <c r="H2863" i="2"/>
  <c r="H2853" i="2"/>
  <c r="H2842" i="2"/>
  <c r="H2831" i="2"/>
  <c r="H2821" i="2"/>
  <c r="H2810" i="2"/>
  <c r="H2799" i="2"/>
  <c r="H2789" i="2"/>
  <c r="H2778" i="2"/>
  <c r="H2767" i="2"/>
  <c r="H2757" i="2"/>
  <c r="H2746" i="2"/>
  <c r="H2735" i="2"/>
  <c r="H2725" i="2"/>
  <c r="H2714" i="2"/>
  <c r="H2703" i="2"/>
  <c r="H2693" i="2"/>
  <c r="H2682" i="2"/>
  <c r="H2673" i="2"/>
  <c r="H2665" i="2"/>
  <c r="H2657" i="2"/>
  <c r="H2649" i="2"/>
  <c r="H2641" i="2"/>
  <c r="H2633" i="2"/>
  <c r="H2625" i="2"/>
  <c r="H2617" i="2"/>
  <c r="H2609" i="2"/>
  <c r="H2601" i="2"/>
  <c r="H2593" i="2"/>
  <c r="H2585" i="2"/>
  <c r="H2577" i="2"/>
  <c r="H2569" i="2"/>
  <c r="H2561" i="2"/>
  <c r="H2553" i="2"/>
  <c r="H2545" i="2"/>
  <c r="H2537" i="2"/>
  <c r="H2529" i="2"/>
  <c r="H2521" i="2"/>
  <c r="H2513" i="2"/>
  <c r="H2505" i="2"/>
  <c r="H2497" i="2"/>
  <c r="H2489" i="2"/>
  <c r="H2481" i="2"/>
  <c r="H2473" i="2"/>
  <c r="H2465" i="2"/>
  <c r="H2457" i="2"/>
  <c r="H2449" i="2"/>
  <c r="H2441" i="2"/>
  <c r="H2433" i="2"/>
  <c r="H2425" i="2"/>
  <c r="H2417" i="2"/>
  <c r="H2409" i="2"/>
  <c r="H2401" i="2"/>
  <c r="H2393" i="2"/>
  <c r="H2385" i="2"/>
  <c r="H2377" i="2"/>
  <c r="H2369" i="2"/>
  <c r="H2361" i="2"/>
  <c r="H2353" i="2"/>
  <c r="H2345" i="2"/>
  <c r="H2337" i="2"/>
  <c r="H2329" i="2"/>
  <c r="H2321" i="2"/>
  <c r="H2313" i="2"/>
  <c r="H2305" i="2"/>
  <c r="H2297" i="2"/>
  <c r="H2289" i="2"/>
  <c r="H2281" i="2"/>
  <c r="H2273" i="2"/>
  <c r="H2265" i="2"/>
  <c r="H2257" i="2"/>
  <c r="H2249" i="2"/>
  <c r="H2241" i="2"/>
  <c r="H2233" i="2"/>
  <c r="H2225" i="2"/>
  <c r="H2217" i="2"/>
  <c r="H2209" i="2"/>
  <c r="H2201" i="2"/>
  <c r="H2193" i="2"/>
  <c r="H2185" i="2"/>
  <c r="H2177" i="2"/>
  <c r="H2169" i="2"/>
  <c r="H2161" i="2"/>
  <c r="H2153" i="2"/>
  <c r="H2148" i="2"/>
  <c r="H2142" i="2"/>
  <c r="H2137" i="2"/>
  <c r="H2132" i="2"/>
  <c r="H2126" i="2"/>
  <c r="H2121" i="2"/>
  <c r="H2116" i="2"/>
  <c r="H2110" i="2"/>
  <c r="H2105" i="2"/>
  <c r="H2100" i="2"/>
  <c r="H2094" i="2"/>
  <c r="H2089" i="2"/>
  <c r="H2084" i="2"/>
  <c r="H2078" i="2"/>
  <c r="H2073" i="2"/>
  <c r="H2068" i="2"/>
  <c r="H2062" i="2"/>
  <c r="H2057" i="2"/>
  <c r="H2052" i="2"/>
  <c r="H2046" i="2"/>
  <c r="H2041" i="2"/>
  <c r="H2036" i="2"/>
  <c r="H2030" i="2"/>
  <c r="H2025" i="2"/>
  <c r="H2020" i="2"/>
  <c r="H2014" i="2"/>
  <c r="H2009" i="2"/>
  <c r="H2004" i="2"/>
  <c r="H1998" i="2"/>
  <c r="H1993" i="2"/>
  <c r="H1988" i="2"/>
  <c r="H1982" i="2"/>
  <c r="H1977" i="2"/>
  <c r="H1972" i="2"/>
  <c r="H1966" i="2"/>
  <c r="H1961" i="2"/>
  <c r="H1956" i="2"/>
  <c r="H1950" i="2"/>
  <c r="H1945" i="2"/>
  <c r="H1940" i="2"/>
  <c r="H1934" i="2"/>
  <c r="H1929" i="2"/>
  <c r="H1924" i="2"/>
  <c r="H1918" i="2"/>
  <c r="H1913" i="2"/>
  <c r="H1908" i="2"/>
  <c r="H1902" i="2"/>
  <c r="H1897" i="2"/>
  <c r="H1892" i="2"/>
  <c r="H1886" i="2"/>
  <c r="H1882" i="2"/>
  <c r="H1878" i="2"/>
  <c r="H1874" i="2"/>
  <c r="H1870" i="2"/>
  <c r="H1866" i="2"/>
  <c r="H1862" i="2"/>
  <c r="H1858" i="2"/>
  <c r="H1854" i="2"/>
  <c r="H1850" i="2"/>
  <c r="H1846" i="2"/>
  <c r="H1842" i="2"/>
  <c r="H1838" i="2"/>
  <c r="H1834" i="2"/>
  <c r="H1830" i="2"/>
  <c r="H1826" i="2"/>
  <c r="H1822" i="2"/>
  <c r="H1818" i="2"/>
  <c r="H1814" i="2"/>
  <c r="H1810" i="2"/>
  <c r="H1806" i="2"/>
  <c r="H1802" i="2"/>
  <c r="H1798" i="2"/>
  <c r="H1794" i="2"/>
  <c r="H1790" i="2"/>
  <c r="H1786" i="2"/>
  <c r="H1782" i="2"/>
  <c r="H1778" i="2"/>
  <c r="H1774" i="2"/>
  <c r="H1770" i="2"/>
  <c r="H1766" i="2"/>
  <c r="H1762" i="2"/>
  <c r="H1758" i="2"/>
  <c r="H1754" i="2"/>
  <c r="H1750" i="2"/>
  <c r="H1746" i="2"/>
  <c r="H1742" i="2"/>
  <c r="H1738" i="2"/>
  <c r="H1734" i="2"/>
  <c r="H1730" i="2"/>
  <c r="H1726" i="2"/>
  <c r="H1722" i="2"/>
  <c r="H1718" i="2"/>
  <c r="H1714" i="2"/>
  <c r="H1710" i="2"/>
  <c r="H1706" i="2"/>
  <c r="H1702" i="2"/>
  <c r="H1698" i="2"/>
  <c r="H1694" i="2"/>
  <c r="H1690" i="2"/>
  <c r="H1686" i="2"/>
  <c r="H1682" i="2"/>
  <c r="H1678" i="2"/>
  <c r="H1674" i="2"/>
  <c r="H1670" i="2"/>
  <c r="H1666" i="2"/>
  <c r="H1662" i="2"/>
  <c r="H1658" i="2"/>
  <c r="H1654" i="2"/>
  <c r="H1650" i="2"/>
  <c r="H1646" i="2"/>
  <c r="H1642" i="2"/>
  <c r="H1638" i="2"/>
  <c r="H1634" i="2"/>
  <c r="H1630" i="2"/>
  <c r="H1626" i="2"/>
  <c r="H1622" i="2"/>
  <c r="H1618" i="2"/>
  <c r="H1614" i="2"/>
  <c r="H1610" i="2"/>
  <c r="H1606" i="2"/>
  <c r="H1602" i="2"/>
  <c r="H1598" i="2"/>
  <c r="H1594" i="2"/>
  <c r="H1590" i="2"/>
  <c r="H1586" i="2"/>
  <c r="H1582" i="2"/>
  <c r="H1578" i="2"/>
  <c r="H1574" i="2"/>
  <c r="H1570" i="2"/>
  <c r="H1566" i="2"/>
  <c r="H1562" i="2"/>
  <c r="H1558" i="2"/>
  <c r="H1554" i="2"/>
  <c r="H1550" i="2"/>
  <c r="H1546" i="2"/>
  <c r="H1542" i="2"/>
  <c r="H1538" i="2"/>
  <c r="H1534" i="2"/>
  <c r="H1530" i="2"/>
  <c r="H1526" i="2"/>
  <c r="H1522" i="2"/>
  <c r="H1518" i="2"/>
  <c r="H1514" i="2"/>
  <c r="H1510" i="2"/>
  <c r="H1506" i="2"/>
  <c r="H1502" i="2"/>
  <c r="H1498" i="2"/>
  <c r="H1494" i="2"/>
  <c r="H1490" i="2"/>
  <c r="H1486" i="2"/>
  <c r="H1482" i="2"/>
  <c r="H1478" i="2"/>
  <c r="H1474" i="2"/>
  <c r="H1470" i="2"/>
  <c r="H1466" i="2"/>
  <c r="H1462" i="2"/>
  <c r="H1458" i="2"/>
  <c r="H1454" i="2"/>
  <c r="H1450" i="2"/>
  <c r="H1446" i="2"/>
  <c r="H1442" i="2"/>
  <c r="H1438" i="2"/>
  <c r="H1434" i="2"/>
  <c r="H1430" i="2"/>
  <c r="H1426" i="2"/>
  <c r="H1422" i="2"/>
  <c r="H1418" i="2"/>
  <c r="H1414" i="2"/>
  <c r="H1410" i="2"/>
  <c r="H1406" i="2"/>
  <c r="H1402" i="2"/>
  <c r="H1398" i="2"/>
  <c r="H1394" i="2"/>
  <c r="H1390" i="2"/>
  <c r="H1386" i="2"/>
  <c r="H1382" i="2"/>
  <c r="H1378" i="2"/>
  <c r="H1374" i="2"/>
  <c r="H1370" i="2"/>
  <c r="H1366" i="2"/>
  <c r="H1362" i="2"/>
  <c r="H1358" i="2"/>
  <c r="H1354" i="2"/>
  <c r="H1350" i="2"/>
  <c r="H1346" i="2"/>
  <c r="H1342" i="2"/>
  <c r="H1338" i="2"/>
  <c r="H1334" i="2"/>
  <c r="H1330" i="2"/>
  <c r="H1326" i="2"/>
  <c r="H1322" i="2"/>
  <c r="H1318" i="2"/>
  <c r="H1314" i="2"/>
  <c r="H1310" i="2"/>
  <c r="H1306" i="2"/>
  <c r="H1302" i="2"/>
  <c r="H1298" i="2"/>
  <c r="H1294" i="2"/>
  <c r="H1290" i="2"/>
  <c r="H1286" i="2"/>
  <c r="H1282" i="2"/>
  <c r="H1278" i="2"/>
  <c r="H1274" i="2"/>
  <c r="H1270" i="2"/>
  <c r="H1266" i="2"/>
  <c r="H1262" i="2"/>
  <c r="H1258" i="2"/>
  <c r="H1254" i="2"/>
  <c r="H1250" i="2"/>
  <c r="H1246" i="2"/>
  <c r="H1242" i="2"/>
  <c r="H1238" i="2"/>
  <c r="H1234" i="2"/>
  <c r="H1230" i="2"/>
  <c r="H1226" i="2"/>
  <c r="H1222" i="2"/>
  <c r="H1218" i="2"/>
  <c r="H1214" i="2"/>
  <c r="H1210" i="2"/>
  <c r="H1206" i="2"/>
  <c r="H1202" i="2"/>
  <c r="H1198" i="2"/>
  <c r="H1194" i="2"/>
  <c r="H1190" i="2"/>
  <c r="H1186" i="2"/>
  <c r="H1182" i="2"/>
  <c r="H1178" i="2"/>
  <c r="H1174" i="2"/>
  <c r="H1170" i="2"/>
  <c r="H1166" i="2"/>
  <c r="H1162" i="2"/>
  <c r="H1158" i="2"/>
  <c r="H1154" i="2"/>
  <c r="H1150" i="2"/>
  <c r="H1146" i="2"/>
  <c r="H1142" i="2"/>
  <c r="H1138" i="2"/>
  <c r="H1134" i="2"/>
  <c r="H1130" i="2"/>
  <c r="H1126" i="2"/>
  <c r="H1122" i="2"/>
  <c r="H1118" i="2"/>
  <c r="H1114" i="2"/>
  <c r="H1110" i="2"/>
  <c r="H1106" i="2"/>
  <c r="H1102" i="2"/>
  <c r="H1098" i="2"/>
  <c r="H1094" i="2"/>
  <c r="H1090" i="2"/>
  <c r="H1086" i="2"/>
  <c r="H1082" i="2"/>
  <c r="H1078" i="2"/>
  <c r="H1074" i="2"/>
  <c r="H1070" i="2"/>
  <c r="H1066" i="2"/>
  <c r="H1062" i="2"/>
  <c r="H1058" i="2"/>
  <c r="H1054" i="2"/>
  <c r="H1050" i="2"/>
  <c r="H1046" i="2"/>
  <c r="H1042" i="2"/>
  <c r="H1038" i="2"/>
  <c r="H1034" i="2"/>
  <c r="H1030" i="2"/>
  <c r="H1026" i="2"/>
  <c r="H1022" i="2"/>
  <c r="H1018" i="2"/>
  <c r="H1014" i="2"/>
  <c r="H1010" i="2"/>
  <c r="H1006" i="2"/>
  <c r="H1002" i="2"/>
  <c r="H998" i="2"/>
  <c r="H994" i="2"/>
  <c r="H990" i="2"/>
  <c r="H986" i="2"/>
  <c r="H982" i="2"/>
  <c r="H978" i="2"/>
  <c r="H974" i="2"/>
  <c r="H970" i="2"/>
  <c r="H966" i="2"/>
  <c r="H962" i="2"/>
  <c r="H958" i="2"/>
  <c r="H954" i="2"/>
  <c r="H950" i="2"/>
  <c r="H946" i="2"/>
  <c r="H942" i="2"/>
  <c r="H938" i="2"/>
  <c r="H934" i="2"/>
  <c r="H930" i="2"/>
  <c r="H926" i="2"/>
  <c r="H922" i="2"/>
  <c r="H918" i="2"/>
  <c r="H914" i="2"/>
  <c r="H910" i="2"/>
  <c r="H906" i="2"/>
  <c r="H902" i="2"/>
  <c r="H898" i="2"/>
  <c r="H894" i="2"/>
  <c r="H890" i="2"/>
  <c r="H886" i="2"/>
  <c r="H882" i="2"/>
  <c r="H878" i="2"/>
  <c r="H874" i="2"/>
  <c r="H870" i="2"/>
  <c r="H866" i="2"/>
  <c r="H862" i="2"/>
  <c r="H858" i="2"/>
  <c r="H854" i="2"/>
  <c r="H850" i="2"/>
  <c r="H846" i="2"/>
  <c r="H842" i="2"/>
  <c r="H838" i="2"/>
  <c r="H834" i="2"/>
  <c r="H830" i="2"/>
  <c r="H826" i="2"/>
  <c r="H822" i="2"/>
  <c r="H818" i="2"/>
  <c r="H814" i="2"/>
  <c r="H810" i="2"/>
  <c r="H806" i="2"/>
  <c r="H802" i="2"/>
  <c r="H798" i="2"/>
  <c r="H794" i="2"/>
  <c r="H790" i="2"/>
  <c r="H786" i="2"/>
  <c r="H782" i="2"/>
  <c r="H778" i="2"/>
  <c r="H774" i="2"/>
  <c r="H770" i="2"/>
  <c r="H766" i="2"/>
  <c r="H762" i="2"/>
  <c r="H758" i="2"/>
  <c r="H754" i="2"/>
  <c r="H750" i="2"/>
  <c r="H746" i="2"/>
  <c r="H742" i="2"/>
  <c r="H738" i="2"/>
  <c r="H734" i="2"/>
  <c r="H730" i="2"/>
  <c r="H726" i="2"/>
  <c r="H722" i="2"/>
  <c r="H718" i="2"/>
  <c r="H714" i="2"/>
  <c r="H710" i="2"/>
  <c r="H706" i="2"/>
  <c r="H702" i="2"/>
  <c r="H698" i="2"/>
  <c r="H694" i="2"/>
  <c r="H690" i="2"/>
  <c r="H686" i="2"/>
  <c r="H682" i="2"/>
  <c r="H678" i="2"/>
  <c r="H674" i="2"/>
  <c r="H670" i="2"/>
  <c r="H666" i="2"/>
  <c r="H662" i="2"/>
  <c r="H658" i="2"/>
  <c r="H654" i="2"/>
  <c r="H650" i="2"/>
  <c r="H646" i="2"/>
  <c r="H642" i="2"/>
  <c r="H638" i="2"/>
  <c r="H634" i="2"/>
  <c r="H630" i="2"/>
  <c r="H626" i="2"/>
  <c r="H622" i="2"/>
  <c r="H618" i="2"/>
  <c r="H614" i="2"/>
  <c r="H610" i="2"/>
  <c r="H606" i="2"/>
  <c r="H602" i="2"/>
  <c r="H598" i="2"/>
  <c r="H594" i="2"/>
  <c r="H590" i="2"/>
  <c r="H586" i="2"/>
  <c r="H582" i="2"/>
  <c r="H578" i="2"/>
  <c r="H574" i="2"/>
  <c r="H570" i="2"/>
  <c r="H566" i="2"/>
  <c r="H562" i="2"/>
  <c r="H558" i="2"/>
  <c r="H554" i="2"/>
  <c r="H550" i="2"/>
  <c r="H546" i="2"/>
  <c r="H542" i="2"/>
  <c r="H538" i="2"/>
  <c r="H534" i="2"/>
  <c r="H530" i="2"/>
  <c r="H526" i="2"/>
  <c r="H522" i="2"/>
  <c r="H518" i="2"/>
  <c r="H514" i="2"/>
  <c r="H510" i="2"/>
  <c r="H506" i="2"/>
  <c r="H502" i="2"/>
  <c r="H498" i="2"/>
  <c r="H494" i="2"/>
  <c r="H490" i="2"/>
  <c r="H486" i="2"/>
  <c r="H482" i="2"/>
  <c r="H478" i="2"/>
  <c r="H474" i="2"/>
  <c r="H470" i="2"/>
  <c r="H466" i="2"/>
  <c r="H462" i="2"/>
  <c r="H458" i="2"/>
  <c r="H454" i="2"/>
  <c r="H450" i="2"/>
  <c r="H446" i="2"/>
  <c r="H442" i="2"/>
  <c r="H438" i="2"/>
  <c r="H434" i="2"/>
  <c r="H430" i="2"/>
  <c r="H426" i="2"/>
  <c r="H422" i="2"/>
  <c r="H418" i="2"/>
  <c r="H414" i="2"/>
  <c r="H410" i="2"/>
  <c r="H406" i="2"/>
  <c r="H402" i="2"/>
  <c r="H398" i="2"/>
  <c r="H394" i="2"/>
  <c r="H390" i="2"/>
  <c r="H386" i="2"/>
  <c r="H382" i="2"/>
  <c r="H378" i="2"/>
  <c r="H374" i="2"/>
  <c r="H370" i="2"/>
  <c r="H366" i="2"/>
  <c r="H362" i="2"/>
  <c r="H358" i="2"/>
  <c r="H354" i="2"/>
  <c r="H350" i="2"/>
  <c r="H346" i="2"/>
  <c r="H342" i="2"/>
  <c r="H338" i="2"/>
  <c r="H334" i="2"/>
  <c r="H330" i="2"/>
  <c r="H326" i="2"/>
  <c r="H322" i="2"/>
  <c r="H318" i="2"/>
  <c r="H314" i="2"/>
  <c r="H310" i="2"/>
  <c r="H306" i="2"/>
  <c r="H302" i="2"/>
  <c r="H298" i="2"/>
  <c r="H294" i="2"/>
  <c r="H4614" i="2"/>
  <c r="H4465" i="2"/>
  <c r="H4359" i="2"/>
  <c r="H4273" i="2"/>
  <c r="H4203" i="2"/>
  <c r="H4145" i="2"/>
  <c r="H4088" i="2"/>
  <c r="H4032" i="2"/>
  <c r="H3975" i="2"/>
  <c r="H3918" i="2"/>
  <c r="H3876" i="2"/>
  <c r="H3833" i="2"/>
  <c r="H3790" i="2"/>
  <c r="H3748" i="2"/>
  <c r="H3705" i="2"/>
  <c r="H3662" i="2"/>
  <c r="H3620" i="2"/>
  <c r="H3577" i="2"/>
  <c r="H3534" i="2"/>
  <c r="H3492" i="2"/>
  <c r="H3449" i="2"/>
  <c r="H3414" i="2"/>
  <c r="H3386" i="2"/>
  <c r="H3358" i="2"/>
  <c r="H3329" i="2"/>
  <c r="H3301" i="2"/>
  <c r="H3273" i="2"/>
  <c r="H3244" i="2"/>
  <c r="H3216" i="2"/>
  <c r="H3188" i="2"/>
  <c r="H3158" i="2"/>
  <c r="H3130" i="2"/>
  <c r="H3102" i="2"/>
  <c r="H3073" i="2"/>
  <c r="H3050" i="2"/>
  <c r="H3029" i="2"/>
  <c r="H3007" i="2"/>
  <c r="H2986" i="2"/>
  <c r="H2965" i="2"/>
  <c r="H2943" i="2"/>
  <c r="H2922" i="2"/>
  <c r="H2901" i="2"/>
  <c r="H2879" i="2"/>
  <c r="H2858" i="2"/>
  <c r="H2837" i="2"/>
  <c r="H2815" i="2"/>
  <c r="H2794" i="2"/>
  <c r="H2773" i="2"/>
  <c r="H2751" i="2"/>
  <c r="H2730" i="2"/>
  <c r="H2709" i="2"/>
  <c r="H2687" i="2"/>
  <c r="H2669" i="2"/>
  <c r="H2653" i="2"/>
  <c r="H2637" i="2"/>
  <c r="H2621" i="2"/>
  <c r="H2605" i="2"/>
  <c r="H2589" i="2"/>
  <c r="H2573" i="2"/>
  <c r="H2557" i="2"/>
  <c r="H2541" i="2"/>
  <c r="H2525" i="2"/>
  <c r="H2509" i="2"/>
  <c r="H2493" i="2"/>
  <c r="H2477" i="2"/>
  <c r="H2461" i="2"/>
  <c r="H2445" i="2"/>
  <c r="H2429" i="2"/>
  <c r="H2413" i="2"/>
  <c r="H2397" i="2"/>
  <c r="H2381" i="2"/>
  <c r="H2365" i="2"/>
  <c r="H2349" i="2"/>
  <c r="H2333" i="2"/>
  <c r="H2317" i="2"/>
  <c r="H2301" i="2"/>
  <c r="H2285" i="2"/>
  <c r="H2269" i="2"/>
  <c r="H2253" i="2"/>
  <c r="H2237" i="2"/>
  <c r="H2221" i="2"/>
  <c r="H2205" i="2"/>
  <c r="H2189" i="2"/>
  <c r="H2173" i="2"/>
  <c r="H2157" i="2"/>
  <c r="H2145" i="2"/>
  <c r="H2134" i="2"/>
  <c r="H2124" i="2"/>
  <c r="H2113" i="2"/>
  <c r="H2102" i="2"/>
  <c r="H2092" i="2"/>
  <c r="H2081" i="2"/>
  <c r="H2070" i="2"/>
  <c r="H2060" i="2"/>
  <c r="H2049" i="2"/>
  <c r="H2038" i="2"/>
  <c r="H2028" i="2"/>
  <c r="H2017" i="2"/>
  <c r="H2006" i="2"/>
  <c r="H1996" i="2"/>
  <c r="H1985" i="2"/>
  <c r="H1974" i="2"/>
  <c r="H1964" i="2"/>
  <c r="H1953" i="2"/>
  <c r="H1942" i="2"/>
  <c r="H1932" i="2"/>
  <c r="H1921" i="2"/>
  <c r="H1910" i="2"/>
  <c r="H1900" i="2"/>
  <c r="H1889" i="2"/>
  <c r="H1880" i="2"/>
  <c r="H1872" i="2"/>
  <c r="H1864" i="2"/>
  <c r="H1856" i="2"/>
  <c r="H1848" i="2"/>
  <c r="H1840" i="2"/>
  <c r="H1832" i="2"/>
  <c r="H1824" i="2"/>
  <c r="H1816" i="2"/>
  <c r="H1808" i="2"/>
  <c r="H1800" i="2"/>
  <c r="H1792" i="2"/>
  <c r="H1784" i="2"/>
  <c r="H1776" i="2"/>
  <c r="H1768" i="2"/>
  <c r="H1760" i="2"/>
  <c r="H1752" i="2"/>
  <c r="H1744" i="2"/>
  <c r="H1736" i="2"/>
  <c r="H1728" i="2"/>
  <c r="H1720" i="2"/>
  <c r="H1712" i="2"/>
  <c r="H1704" i="2"/>
  <c r="H1696" i="2"/>
  <c r="H1688" i="2"/>
  <c r="H1680" i="2"/>
  <c r="H1672" i="2"/>
  <c r="H1664" i="2"/>
  <c r="H1656" i="2"/>
  <c r="H1648" i="2"/>
  <c r="H1640" i="2"/>
  <c r="H1632" i="2"/>
  <c r="H1624" i="2"/>
  <c r="H1616" i="2"/>
  <c r="H1608" i="2"/>
  <c r="H1600" i="2"/>
  <c r="H1592" i="2"/>
  <c r="H1584" i="2"/>
  <c r="H1576" i="2"/>
  <c r="H1568" i="2"/>
  <c r="H1560" i="2"/>
  <c r="H1552" i="2"/>
  <c r="H1544" i="2"/>
  <c r="H1536" i="2"/>
  <c r="H1528" i="2"/>
  <c r="H1520" i="2"/>
  <c r="H1512" i="2"/>
  <c r="H1504" i="2"/>
  <c r="H1496" i="2"/>
  <c r="H1488" i="2"/>
  <c r="H1480" i="2"/>
  <c r="H1472" i="2"/>
  <c r="H1464" i="2"/>
  <c r="H1456" i="2"/>
  <c r="H1448" i="2"/>
  <c r="H1440" i="2"/>
  <c r="H1432" i="2"/>
  <c r="H1424" i="2"/>
  <c r="H1416" i="2"/>
  <c r="H1408" i="2"/>
  <c r="H1400" i="2"/>
  <c r="H1392" i="2"/>
  <c r="H1384" i="2"/>
  <c r="H1376" i="2"/>
  <c r="H1368" i="2"/>
  <c r="H1360" i="2"/>
  <c r="H1352" i="2"/>
  <c r="H1344" i="2"/>
  <c r="H1336" i="2"/>
  <c r="H1328" i="2"/>
  <c r="H1320" i="2"/>
  <c r="H1312" i="2"/>
  <c r="H1304" i="2"/>
  <c r="H1296" i="2"/>
  <c r="H1288" i="2"/>
  <c r="H1280" i="2"/>
  <c r="H1272" i="2"/>
  <c r="H1264" i="2"/>
  <c r="H1256" i="2"/>
  <c r="H1248" i="2"/>
  <c r="H1240" i="2"/>
  <c r="H1232" i="2"/>
  <c r="H1224" i="2"/>
  <c r="H1216" i="2"/>
  <c r="H1208" i="2"/>
  <c r="H1200" i="2"/>
  <c r="H1192" i="2"/>
  <c r="H1184" i="2"/>
  <c r="H1176" i="2"/>
  <c r="H1168" i="2"/>
  <c r="H1160" i="2"/>
  <c r="H1152" i="2"/>
  <c r="H1144" i="2"/>
  <c r="H1136" i="2"/>
  <c r="H1128" i="2"/>
  <c r="H1120" i="2"/>
  <c r="H1112" i="2"/>
  <c r="H1104" i="2"/>
  <c r="H1096" i="2"/>
  <c r="H1088" i="2"/>
  <c r="H1080" i="2"/>
  <c r="H1072" i="2"/>
  <c r="H1064" i="2"/>
  <c r="H1056" i="2"/>
  <c r="H1048" i="2"/>
  <c r="H1040" i="2"/>
  <c r="H1032" i="2"/>
  <c r="H1024" i="2"/>
  <c r="H1016" i="2"/>
  <c r="H1008" i="2"/>
  <c r="H1000" i="2"/>
  <c r="H992" i="2"/>
  <c r="H984" i="2"/>
  <c r="H976" i="2"/>
  <c r="H968" i="2"/>
  <c r="H960" i="2"/>
  <c r="H952" i="2"/>
  <c r="H944" i="2"/>
  <c r="H936" i="2"/>
  <c r="H928" i="2"/>
  <c r="H920" i="2"/>
  <c r="H912" i="2"/>
  <c r="H904" i="2"/>
  <c r="H896" i="2"/>
  <c r="H888" i="2"/>
  <c r="H880" i="2"/>
  <c r="H872" i="2"/>
  <c r="H864" i="2"/>
  <c r="H856" i="2"/>
  <c r="H848" i="2"/>
  <c r="H840" i="2"/>
  <c r="H832" i="2"/>
  <c r="H824" i="2"/>
  <c r="H816" i="2"/>
  <c r="H808" i="2"/>
  <c r="H800" i="2"/>
  <c r="H792" i="2"/>
  <c r="H784" i="2"/>
  <c r="H776" i="2"/>
  <c r="H768" i="2"/>
  <c r="H760" i="2"/>
  <c r="H752" i="2"/>
  <c r="H744" i="2"/>
  <c r="H736" i="2"/>
  <c r="H728" i="2"/>
  <c r="H720" i="2"/>
  <c r="H712" i="2"/>
  <c r="H704" i="2"/>
  <c r="H696" i="2"/>
  <c r="H688" i="2"/>
  <c r="H680" i="2"/>
  <c r="H672" i="2"/>
  <c r="H664" i="2"/>
  <c r="H656" i="2"/>
  <c r="H648" i="2"/>
  <c r="H640" i="2"/>
  <c r="H632" i="2"/>
  <c r="H624" i="2"/>
  <c r="H616" i="2"/>
  <c r="H608" i="2"/>
  <c r="H600" i="2"/>
  <c r="H592" i="2"/>
  <c r="H584" i="2"/>
  <c r="H576" i="2"/>
  <c r="H568" i="2"/>
  <c r="H560" i="2"/>
  <c r="H552" i="2"/>
  <c r="H544" i="2"/>
  <c r="H536" i="2"/>
  <c r="H528" i="2"/>
  <c r="H520" i="2"/>
  <c r="H512" i="2"/>
  <c r="H504" i="2"/>
  <c r="H496" i="2"/>
  <c r="H488" i="2"/>
  <c r="H480" i="2"/>
  <c r="H472" i="2"/>
  <c r="H464" i="2"/>
  <c r="H456" i="2"/>
  <c r="H448" i="2"/>
  <c r="H440" i="2"/>
  <c r="H432" i="2"/>
  <c r="H424" i="2"/>
  <c r="H416" i="2"/>
  <c r="H408" i="2"/>
  <c r="H400" i="2"/>
  <c r="H392" i="2"/>
  <c r="H384" i="2"/>
  <c r="H376" i="2"/>
  <c r="H368" i="2"/>
  <c r="H360" i="2"/>
  <c r="H352" i="2"/>
  <c r="H344" i="2"/>
  <c r="H336" i="2"/>
  <c r="H328" i="2"/>
  <c r="H320" i="2"/>
  <c r="H312" i="2"/>
  <c r="H304" i="2"/>
  <c r="H296" i="2"/>
  <c r="H289" i="2"/>
  <c r="H284" i="2"/>
  <c r="H278" i="2"/>
  <c r="H273" i="2"/>
  <c r="H268" i="2"/>
  <c r="H262" i="2"/>
  <c r="H257" i="2"/>
  <c r="H252" i="2"/>
  <c r="H246" i="2"/>
  <c r="H241" i="2"/>
  <c r="H236" i="2"/>
  <c r="H230" i="2"/>
  <c r="H225" i="2"/>
  <c r="H220" i="2"/>
  <c r="H214" i="2"/>
  <c r="H209" i="2"/>
  <c r="H204" i="2"/>
  <c r="H198" i="2"/>
  <c r="H193" i="2"/>
  <c r="H188" i="2"/>
  <c r="H182" i="2"/>
  <c r="H177" i="2"/>
  <c r="H172" i="2"/>
  <c r="H166" i="2"/>
  <c r="H161" i="2"/>
  <c r="H156" i="2"/>
  <c r="H150" i="2"/>
  <c r="H145" i="2"/>
  <c r="H140" i="2"/>
  <c r="H134" i="2"/>
  <c r="H129" i="2"/>
  <c r="H124" i="2"/>
  <c r="H118" i="2"/>
  <c r="H113" i="2"/>
  <c r="H108" i="2"/>
  <c r="H102" i="2"/>
  <c r="H97" i="2"/>
  <c r="H92" i="2"/>
  <c r="H86" i="2"/>
  <c r="H81" i="2"/>
  <c r="H76" i="2"/>
  <c r="H70" i="2"/>
  <c r="H65" i="2"/>
  <c r="H60" i="2"/>
  <c r="H54" i="2"/>
  <c r="H49" i="2"/>
  <c r="H44" i="2"/>
  <c r="H38" i="2"/>
  <c r="H34" i="2"/>
  <c r="H30" i="2"/>
  <c r="H26" i="2"/>
  <c r="H22" i="2"/>
  <c r="H18" i="2"/>
  <c r="H14" i="2"/>
  <c r="H10" i="2"/>
  <c r="H6" i="2"/>
  <c r="H4768" i="2"/>
  <c r="H4564" i="2"/>
  <c r="H4427" i="2"/>
  <c r="H4331" i="2"/>
  <c r="H4245" i="2"/>
  <c r="H4183" i="2"/>
  <c r="H4125" i="2"/>
  <c r="H4069" i="2"/>
  <c r="H4012" i="2"/>
  <c r="H3955" i="2"/>
  <c r="H3904" i="2"/>
  <c r="H3861" i="2"/>
  <c r="H3818" i="2"/>
  <c r="H3776" i="2"/>
  <c r="H3733" i="2"/>
  <c r="H3690" i="2"/>
  <c r="H3648" i="2"/>
  <c r="H3605" i="2"/>
  <c r="H3562" i="2"/>
  <c r="H3520" i="2"/>
  <c r="H3477" i="2"/>
  <c r="H3434" i="2"/>
  <c r="H3406" i="2"/>
  <c r="H3377" i="2"/>
  <c r="H3349" i="2"/>
  <c r="H3321" i="2"/>
  <c r="H3292" i="2"/>
  <c r="H3264" i="2"/>
  <c r="H3236" i="2"/>
  <c r="H3206" i="2"/>
  <c r="H3178" i="2"/>
  <c r="H3150" i="2"/>
  <c r="H3121" i="2"/>
  <c r="H3093" i="2"/>
  <c r="H3065" i="2"/>
  <c r="H3043" i="2"/>
  <c r="H3022" i="2"/>
  <c r="H3001" i="2"/>
  <c r="H2979" i="2"/>
  <c r="H2958" i="2"/>
  <c r="H2937" i="2"/>
  <c r="H2915" i="2"/>
  <c r="H2894" i="2"/>
  <c r="H2873" i="2"/>
  <c r="H2851" i="2"/>
  <c r="H2830" i="2"/>
  <c r="H2809" i="2"/>
  <c r="H2787" i="2"/>
  <c r="H2766" i="2"/>
  <c r="H2745" i="2"/>
  <c r="H2723" i="2"/>
  <c r="H2702" i="2"/>
  <c r="H2681" i="2"/>
  <c r="H2664" i="2"/>
  <c r="H2648" i="2"/>
  <c r="H2632" i="2"/>
  <c r="H2616" i="2"/>
  <c r="H2600" i="2"/>
  <c r="H2584" i="2"/>
  <c r="H2568" i="2"/>
  <c r="H2552" i="2"/>
  <c r="H2536" i="2"/>
  <c r="H2520" i="2"/>
  <c r="H2504" i="2"/>
  <c r="H2488" i="2"/>
  <c r="H2472" i="2"/>
  <c r="H2456" i="2"/>
  <c r="H2440" i="2"/>
  <c r="H2424" i="2"/>
  <c r="H2408" i="2"/>
  <c r="H2392" i="2"/>
  <c r="H2376" i="2"/>
  <c r="H2360" i="2"/>
  <c r="H2344" i="2"/>
  <c r="H2328" i="2"/>
  <c r="H2312" i="2"/>
  <c r="H2296" i="2"/>
  <c r="H2280" i="2"/>
  <c r="H2264" i="2"/>
  <c r="H2248" i="2"/>
  <c r="H2232" i="2"/>
  <c r="H2216" i="2"/>
  <c r="H2200" i="2"/>
  <c r="H2184" i="2"/>
  <c r="H2168" i="2"/>
  <c r="H2152" i="2"/>
  <c r="H2141" i="2"/>
  <c r="H2130" i="2"/>
  <c r="H2120" i="2"/>
  <c r="H2109" i="2"/>
  <c r="H2098" i="2"/>
  <c r="H2088" i="2"/>
  <c r="H2077" i="2"/>
  <c r="H2066" i="2"/>
  <c r="H2056" i="2"/>
  <c r="H2045" i="2"/>
  <c r="H2034" i="2"/>
  <c r="H2024" i="2"/>
  <c r="H2013" i="2"/>
  <c r="H2002" i="2"/>
  <c r="H1992" i="2"/>
  <c r="H1981" i="2"/>
  <c r="H1970" i="2"/>
  <c r="H1960" i="2"/>
  <c r="H1949" i="2"/>
  <c r="H1938" i="2"/>
  <c r="H1928" i="2"/>
  <c r="H1917" i="2"/>
  <c r="H1906" i="2"/>
  <c r="H1896" i="2"/>
  <c r="H1885" i="2"/>
  <c r="H1877" i="2"/>
  <c r="H1869" i="2"/>
  <c r="H1861" i="2"/>
  <c r="H1853" i="2"/>
  <c r="H1845" i="2"/>
  <c r="H1837" i="2"/>
  <c r="H1829" i="2"/>
  <c r="H1821" i="2"/>
  <c r="H1813" i="2"/>
  <c r="H1805" i="2"/>
  <c r="H1797" i="2"/>
  <c r="H1789" i="2"/>
  <c r="H1781" i="2"/>
  <c r="H1773" i="2"/>
  <c r="H1765" i="2"/>
  <c r="H1757" i="2"/>
  <c r="H1749" i="2"/>
  <c r="H1741" i="2"/>
  <c r="H1733" i="2"/>
  <c r="H1725" i="2"/>
  <c r="H1717" i="2"/>
  <c r="H1709" i="2"/>
  <c r="H1701" i="2"/>
  <c r="H1693" i="2"/>
  <c r="H1685" i="2"/>
  <c r="H1677" i="2"/>
  <c r="H1669" i="2"/>
  <c r="H1661" i="2"/>
  <c r="H1653" i="2"/>
  <c r="H1645" i="2"/>
  <c r="H1637" i="2"/>
  <c r="H1629" i="2"/>
  <c r="H1621" i="2"/>
  <c r="H1613" i="2"/>
  <c r="H1605" i="2"/>
  <c r="H1597" i="2"/>
  <c r="H1589" i="2"/>
  <c r="H1581" i="2"/>
  <c r="H1573" i="2"/>
  <c r="H1565" i="2"/>
  <c r="H1557" i="2"/>
  <c r="H1549" i="2"/>
  <c r="H1541" i="2"/>
  <c r="H1533" i="2"/>
  <c r="H1525" i="2"/>
  <c r="H1517" i="2"/>
  <c r="H1509" i="2"/>
  <c r="H1501" i="2"/>
  <c r="H1493" i="2"/>
  <c r="H1485" i="2"/>
  <c r="H1477" i="2"/>
  <c r="H1469" i="2"/>
  <c r="H1461" i="2"/>
  <c r="H1453" i="2"/>
  <c r="H1445" i="2"/>
  <c r="H1437" i="2"/>
  <c r="H1429" i="2"/>
  <c r="H1421" i="2"/>
  <c r="H1413" i="2"/>
  <c r="H1405" i="2"/>
  <c r="H1397" i="2"/>
  <c r="H1389" i="2"/>
  <c r="H1381" i="2"/>
  <c r="H1373" i="2"/>
  <c r="H1365" i="2"/>
  <c r="H1357" i="2"/>
  <c r="H1349" i="2"/>
  <c r="H1341" i="2"/>
  <c r="H1333" i="2"/>
  <c r="H1325" i="2"/>
  <c r="H1317" i="2"/>
  <c r="H1309" i="2"/>
  <c r="H1301" i="2"/>
  <c r="H1293" i="2"/>
  <c r="H1285" i="2"/>
  <c r="H1277" i="2"/>
  <c r="H1269" i="2"/>
  <c r="H1261" i="2"/>
  <c r="H1253" i="2"/>
  <c r="H1245" i="2"/>
  <c r="H1237" i="2"/>
  <c r="H1229" i="2"/>
  <c r="H1221" i="2"/>
  <c r="H1213" i="2"/>
  <c r="H1205" i="2"/>
  <c r="H1197" i="2"/>
  <c r="H1189" i="2"/>
  <c r="H1181" i="2"/>
  <c r="H1173" i="2"/>
  <c r="H1165" i="2"/>
  <c r="H1157" i="2"/>
  <c r="H1149" i="2"/>
  <c r="H1141" i="2"/>
  <c r="H1133" i="2"/>
  <c r="H1125" i="2"/>
  <c r="H1117" i="2"/>
  <c r="H1109" i="2"/>
  <c r="H1101" i="2"/>
  <c r="H1093" i="2"/>
  <c r="H1085" i="2"/>
  <c r="H1077" i="2"/>
  <c r="H1069" i="2"/>
  <c r="H1061" i="2"/>
  <c r="H1053" i="2"/>
  <c r="H1045" i="2"/>
  <c r="H1037" i="2"/>
  <c r="H1029" i="2"/>
  <c r="H1021" i="2"/>
  <c r="H1013" i="2"/>
  <c r="H1005" i="2"/>
  <c r="H997" i="2"/>
  <c r="H989" i="2"/>
  <c r="H981" i="2"/>
  <c r="H973" i="2"/>
  <c r="H965" i="2"/>
  <c r="H957" i="2"/>
  <c r="H949" i="2"/>
  <c r="H941" i="2"/>
  <c r="H933" i="2"/>
  <c r="H925" i="2"/>
  <c r="H917" i="2"/>
  <c r="H909" i="2"/>
  <c r="H901" i="2"/>
  <c r="H893" i="2"/>
  <c r="H885" i="2"/>
  <c r="H877" i="2"/>
  <c r="H869" i="2"/>
  <c r="H861" i="2"/>
  <c r="H853" i="2"/>
  <c r="H845" i="2"/>
  <c r="H837" i="2"/>
  <c r="H829" i="2"/>
  <c r="H821" i="2"/>
  <c r="H813" i="2"/>
  <c r="H805" i="2"/>
  <c r="H797" i="2"/>
  <c r="H789" i="2"/>
  <c r="H781" i="2"/>
  <c r="H773" i="2"/>
  <c r="H765" i="2"/>
  <c r="H757" i="2"/>
  <c r="H749" i="2"/>
  <c r="H741" i="2"/>
  <c r="H733" i="2"/>
  <c r="H725" i="2"/>
  <c r="H717" i="2"/>
  <c r="H709" i="2"/>
  <c r="H701" i="2"/>
  <c r="H693" i="2"/>
  <c r="H685" i="2"/>
  <c r="H677" i="2"/>
  <c r="H669" i="2"/>
  <c r="H661" i="2"/>
  <c r="H653" i="2"/>
  <c r="H645" i="2"/>
  <c r="H637" i="2"/>
  <c r="H629" i="2"/>
  <c r="H621" i="2"/>
  <c r="H613" i="2"/>
  <c r="H605" i="2"/>
  <c r="H597" i="2"/>
  <c r="H589" i="2"/>
  <c r="H581" i="2"/>
  <c r="H573" i="2"/>
  <c r="H565" i="2"/>
  <c r="H557" i="2"/>
  <c r="H549" i="2"/>
  <c r="H541" i="2"/>
  <c r="H533" i="2"/>
  <c r="H525" i="2"/>
  <c r="H517" i="2"/>
  <c r="H509" i="2"/>
  <c r="H501" i="2"/>
  <c r="H493" i="2"/>
  <c r="H485" i="2"/>
  <c r="H477" i="2"/>
  <c r="H469" i="2"/>
  <c r="H461" i="2"/>
  <c r="H453" i="2"/>
  <c r="H445" i="2"/>
  <c r="H437" i="2"/>
  <c r="H429" i="2"/>
  <c r="H421" i="2"/>
  <c r="H413" i="2"/>
  <c r="H405" i="2"/>
  <c r="H397" i="2"/>
  <c r="H389" i="2"/>
  <c r="H381" i="2"/>
  <c r="H373" i="2"/>
  <c r="H365" i="2"/>
  <c r="H357" i="2"/>
  <c r="H349" i="2"/>
  <c r="H341" i="2"/>
  <c r="H333" i="2"/>
  <c r="H325" i="2"/>
  <c r="H317" i="2"/>
  <c r="H309" i="2"/>
  <c r="H301" i="2"/>
  <c r="H293" i="2"/>
  <c r="H288" i="2"/>
  <c r="H282" i="2"/>
  <c r="H277" i="2"/>
  <c r="H272" i="2"/>
  <c r="H266" i="2"/>
  <c r="H261" i="2"/>
  <c r="H256" i="2"/>
  <c r="H250" i="2"/>
  <c r="H245" i="2"/>
  <c r="H240" i="2"/>
  <c r="H234" i="2"/>
  <c r="H229" i="2"/>
  <c r="H224" i="2"/>
  <c r="H218" i="2"/>
  <c r="H213" i="2"/>
  <c r="H208" i="2"/>
  <c r="H202" i="2"/>
  <c r="H197" i="2"/>
  <c r="H192" i="2"/>
  <c r="H186" i="2"/>
  <c r="H181" i="2"/>
  <c r="H176" i="2"/>
  <c r="H170" i="2"/>
  <c r="H165" i="2"/>
  <c r="H160" i="2"/>
  <c r="H154" i="2"/>
  <c r="H149" i="2"/>
  <c r="H144" i="2"/>
  <c r="H138" i="2"/>
  <c r="H133" i="2"/>
  <c r="H128" i="2"/>
  <c r="H122" i="2"/>
  <c r="H117" i="2"/>
  <c r="H112" i="2"/>
  <c r="H106" i="2"/>
  <c r="H101" i="2"/>
  <c r="H96" i="2"/>
  <c r="H90" i="2"/>
  <c r="H85" i="2"/>
  <c r="H80" i="2"/>
  <c r="H74" i="2"/>
  <c r="H69" i="2"/>
  <c r="H64" i="2"/>
  <c r="H58" i="2"/>
  <c r="H53" i="2"/>
  <c r="H48" i="2"/>
  <c r="H42" i="2"/>
  <c r="H37" i="2"/>
  <c r="H33" i="2"/>
  <c r="H29" i="2"/>
  <c r="H25" i="2"/>
  <c r="H21" i="2"/>
  <c r="H17" i="2"/>
  <c r="H13" i="2"/>
  <c r="H9" i="2"/>
  <c r="H5" i="2"/>
  <c r="H2" i="2"/>
  <c r="H4490" i="2"/>
  <c r="H4288" i="2"/>
  <c r="H4155" i="2"/>
  <c r="H4040" i="2"/>
  <c r="H3927" i="2"/>
  <c r="H3840" i="2"/>
  <c r="H3754" i="2"/>
  <c r="H3669" i="2"/>
  <c r="H3584" i="2"/>
  <c r="H3498" i="2"/>
  <c r="H3420" i="2"/>
  <c r="H3364" i="2"/>
  <c r="H3306" i="2"/>
  <c r="H3249" i="2"/>
  <c r="H3193" i="2"/>
  <c r="H3136" i="2"/>
  <c r="H3078" i="2"/>
  <c r="H3033" i="2"/>
  <c r="H2990" i="2"/>
  <c r="H2947" i="2"/>
  <c r="H2905" i="2"/>
  <c r="H2862" i="2"/>
  <c r="H2819" i="2"/>
  <c r="H2777" i="2"/>
  <c r="H2734" i="2"/>
  <c r="H2691" i="2"/>
  <c r="H2656" i="2"/>
  <c r="H2624" i="2"/>
  <c r="H2592" i="2"/>
  <c r="H2560" i="2"/>
  <c r="H2528" i="2"/>
  <c r="H2496" i="2"/>
  <c r="H2464" i="2"/>
  <c r="H2432" i="2"/>
  <c r="H2400" i="2"/>
  <c r="H2368" i="2"/>
  <c r="H2336" i="2"/>
  <c r="H2304" i="2"/>
  <c r="H2272" i="2"/>
  <c r="H2240" i="2"/>
  <c r="H2208" i="2"/>
  <c r="H2176" i="2"/>
  <c r="H2146" i="2"/>
  <c r="H2125" i="2"/>
  <c r="H2104" i="2"/>
  <c r="H2082" i="2"/>
  <c r="H2061" i="2"/>
  <c r="H2040" i="2"/>
  <c r="H2018" i="2"/>
  <c r="H1997" i="2"/>
  <c r="H1976" i="2"/>
  <c r="H1954" i="2"/>
  <c r="H1933" i="2"/>
  <c r="H1912" i="2"/>
  <c r="H1890" i="2"/>
  <c r="H1873" i="2"/>
  <c r="H1857" i="2"/>
  <c r="H1841" i="2"/>
  <c r="H1825" i="2"/>
  <c r="H1809" i="2"/>
  <c r="H1793" i="2"/>
  <c r="H1777" i="2"/>
  <c r="H1761" i="2"/>
  <c r="H1745" i="2"/>
  <c r="H1729" i="2"/>
  <c r="H1713" i="2"/>
  <c r="H1697" i="2"/>
  <c r="H1681" i="2"/>
  <c r="H1665" i="2"/>
  <c r="H1649" i="2"/>
  <c r="H1633" i="2"/>
  <c r="H1617" i="2"/>
  <c r="H1601" i="2"/>
  <c r="H1585" i="2"/>
  <c r="H1569" i="2"/>
  <c r="H1553" i="2"/>
  <c r="H1537" i="2"/>
  <c r="H1521" i="2"/>
  <c r="H1505" i="2"/>
  <c r="H1489" i="2"/>
  <c r="H1473" i="2"/>
  <c r="H1457" i="2"/>
  <c r="H1441" i="2"/>
  <c r="H1425" i="2"/>
  <c r="H1409" i="2"/>
  <c r="H1393" i="2"/>
  <c r="H1377" i="2"/>
  <c r="H1361" i="2"/>
  <c r="H1345" i="2"/>
  <c r="H1329" i="2"/>
  <c r="H1313" i="2"/>
  <c r="H1297" i="2"/>
  <c r="H1281" i="2"/>
  <c r="H1265" i="2"/>
  <c r="H1249" i="2"/>
  <c r="H1233" i="2"/>
  <c r="H1217" i="2"/>
  <c r="H1201" i="2"/>
  <c r="H1185" i="2"/>
  <c r="H1169" i="2"/>
  <c r="H1153" i="2"/>
  <c r="H1137" i="2"/>
  <c r="H1121" i="2"/>
  <c r="H1105" i="2"/>
  <c r="H1089" i="2"/>
  <c r="H1073" i="2"/>
  <c r="H1057" i="2"/>
  <c r="H1041" i="2"/>
  <c r="H1025" i="2"/>
  <c r="H1009" i="2"/>
  <c r="H993" i="2"/>
  <c r="H977" i="2"/>
  <c r="H961" i="2"/>
  <c r="H945" i="2"/>
  <c r="H929" i="2"/>
  <c r="H913" i="2"/>
  <c r="H897" i="2"/>
  <c r="H881" i="2"/>
  <c r="H865" i="2"/>
  <c r="H849" i="2"/>
  <c r="H833" i="2"/>
  <c r="H817" i="2"/>
  <c r="H801" i="2"/>
  <c r="H785" i="2"/>
  <c r="H769" i="2"/>
  <c r="H753" i="2"/>
  <c r="H737" i="2"/>
  <c r="H721" i="2"/>
  <c r="H705" i="2"/>
  <c r="H689" i="2"/>
  <c r="H673" i="2"/>
  <c r="H657" i="2"/>
  <c r="H641" i="2"/>
  <c r="H625" i="2"/>
  <c r="H609" i="2"/>
  <c r="H593" i="2"/>
  <c r="H577" i="2"/>
  <c r="H561" i="2"/>
  <c r="H545" i="2"/>
  <c r="H529" i="2"/>
  <c r="H513" i="2"/>
  <c r="H497" i="2"/>
  <c r="H481" i="2"/>
  <c r="H465" i="2"/>
  <c r="H449" i="2"/>
  <c r="H433" i="2"/>
  <c r="H417" i="2"/>
  <c r="H401" i="2"/>
  <c r="H385" i="2"/>
  <c r="H369" i="2"/>
  <c r="H353" i="2"/>
  <c r="H337" i="2"/>
  <c r="H321" i="2"/>
  <c r="H305" i="2"/>
  <c r="H290" i="2"/>
  <c r="H280" i="2"/>
  <c r="H269" i="2"/>
  <c r="H258" i="2"/>
  <c r="H248" i="2"/>
  <c r="H237" i="2"/>
  <c r="H226" i="2"/>
  <c r="H216" i="2"/>
  <c r="H205" i="2"/>
  <c r="H194" i="2"/>
  <c r="H184" i="2"/>
  <c r="H173" i="2"/>
  <c r="H162" i="2"/>
  <c r="H152" i="2"/>
  <c r="H141" i="2"/>
  <c r="H130" i="2"/>
  <c r="H120" i="2"/>
  <c r="H109" i="2"/>
  <c r="H98" i="2"/>
  <c r="H88" i="2"/>
  <c r="H77" i="2"/>
  <c r="H66" i="2"/>
  <c r="H56" i="2"/>
  <c r="H45" i="2"/>
  <c r="H35" i="2"/>
  <c r="H27" i="2"/>
  <c r="H19" i="2"/>
  <c r="H11" i="2"/>
  <c r="H3" i="2"/>
  <c r="H4730" i="2"/>
  <c r="H4407" i="2"/>
  <c r="H4231" i="2"/>
  <c r="H4117" i="2"/>
  <c r="H4003" i="2"/>
  <c r="H3897" i="2"/>
  <c r="H3812" i="2"/>
  <c r="H3726" i="2"/>
  <c r="H3641" i="2"/>
  <c r="H3556" i="2"/>
  <c r="H3470" i="2"/>
  <c r="H3401" i="2"/>
  <c r="H3344" i="2"/>
  <c r="H3286" i="2"/>
  <c r="H3230" i="2"/>
  <c r="H3173" i="2"/>
  <c r="H3116" i="2"/>
  <c r="H3061" i="2"/>
  <c r="H3018" i="2"/>
  <c r="H2975" i="2"/>
  <c r="H2933" i="2"/>
  <c r="H2890" i="2"/>
  <c r="H2847" i="2"/>
  <c r="H2805" i="2"/>
  <c r="H2762" i="2"/>
  <c r="H2719" i="2"/>
  <c r="H2677" i="2"/>
  <c r="H2645" i="2"/>
  <c r="H2613" i="2"/>
  <c r="H2581" i="2"/>
  <c r="H2549" i="2"/>
  <c r="H2517" i="2"/>
  <c r="H2485" i="2"/>
  <c r="H2453" i="2"/>
  <c r="H2421" i="2"/>
  <c r="H2389" i="2"/>
  <c r="H2357" i="2"/>
  <c r="H2325" i="2"/>
  <c r="H2293" i="2"/>
  <c r="H2261" i="2"/>
  <c r="H2229" i="2"/>
  <c r="H2197" i="2"/>
  <c r="H2165" i="2"/>
  <c r="H2140" i="2"/>
  <c r="H2118" i="2"/>
  <c r="H2097" i="2"/>
  <c r="H2076" i="2"/>
  <c r="H2054" i="2"/>
  <c r="H2033" i="2"/>
  <c r="H2012" i="2"/>
  <c r="H1990" i="2"/>
  <c r="H1969" i="2"/>
  <c r="H1948" i="2"/>
  <c r="H1926" i="2"/>
  <c r="H1905" i="2"/>
  <c r="H1884" i="2"/>
  <c r="H1868" i="2"/>
  <c r="H1852" i="2"/>
  <c r="H1836" i="2"/>
  <c r="H1820" i="2"/>
  <c r="H1804" i="2"/>
  <c r="H1788" i="2"/>
  <c r="H1772" i="2"/>
  <c r="H1756" i="2"/>
  <c r="H1740" i="2"/>
  <c r="H1724" i="2"/>
  <c r="H1708" i="2"/>
  <c r="H1692" i="2"/>
  <c r="H1676" i="2"/>
  <c r="H1660" i="2"/>
  <c r="H1644" i="2"/>
  <c r="H1628" i="2"/>
  <c r="H1612" i="2"/>
  <c r="H1596" i="2"/>
  <c r="H1580" i="2"/>
  <c r="H1564" i="2"/>
  <c r="H1548" i="2"/>
  <c r="H1532" i="2"/>
  <c r="H1516" i="2"/>
  <c r="H1500" i="2"/>
  <c r="H1484" i="2"/>
  <c r="H1468" i="2"/>
  <c r="H1452" i="2"/>
  <c r="H1436" i="2"/>
  <c r="H1420" i="2"/>
  <c r="H1404" i="2"/>
  <c r="H1388" i="2"/>
  <c r="H1372" i="2"/>
  <c r="H1356" i="2"/>
  <c r="H1340" i="2"/>
  <c r="H1324" i="2"/>
  <c r="H1308" i="2"/>
  <c r="H1292" i="2"/>
  <c r="H1276" i="2"/>
  <c r="H1260" i="2"/>
  <c r="H1244" i="2"/>
  <c r="H1228" i="2"/>
  <c r="H1212" i="2"/>
  <c r="H1196" i="2"/>
  <c r="H1180" i="2"/>
  <c r="H1164" i="2"/>
  <c r="H1148" i="2"/>
  <c r="H1132" i="2"/>
  <c r="H1116" i="2"/>
  <c r="H1100" i="2"/>
  <c r="H1084" i="2"/>
  <c r="H1068" i="2"/>
  <c r="H1052" i="2"/>
  <c r="H1036" i="2"/>
  <c r="H1020" i="2"/>
  <c r="H1004" i="2"/>
  <c r="H988" i="2"/>
  <c r="H972" i="2"/>
  <c r="H956" i="2"/>
  <c r="H940" i="2"/>
  <c r="H924" i="2"/>
  <c r="H908" i="2"/>
  <c r="H892" i="2"/>
  <c r="H876" i="2"/>
  <c r="H860" i="2"/>
  <c r="H844" i="2"/>
  <c r="H828" i="2"/>
  <c r="H812" i="2"/>
  <c r="H796" i="2"/>
  <c r="H780" i="2"/>
  <c r="H764" i="2"/>
  <c r="H748" i="2"/>
  <c r="H732" i="2"/>
  <c r="H716" i="2"/>
  <c r="H700" i="2"/>
  <c r="H684" i="2"/>
  <c r="H668" i="2"/>
  <c r="H652" i="2"/>
  <c r="H636" i="2"/>
  <c r="H620" i="2"/>
  <c r="H604" i="2"/>
  <c r="H588" i="2"/>
  <c r="H572" i="2"/>
  <c r="H556" i="2"/>
  <c r="H540" i="2"/>
  <c r="H524" i="2"/>
  <c r="H508" i="2"/>
  <c r="H492" i="2"/>
  <c r="H476" i="2"/>
  <c r="H460" i="2"/>
  <c r="H444" i="2"/>
  <c r="H428" i="2"/>
  <c r="H412" i="2"/>
  <c r="H396" i="2"/>
  <c r="H380" i="2"/>
  <c r="H364" i="2"/>
  <c r="H348" i="2"/>
  <c r="H332" i="2"/>
  <c r="H316" i="2"/>
  <c r="H300" i="2"/>
  <c r="H286" i="2"/>
  <c r="H276" i="2"/>
  <c r="H265" i="2"/>
  <c r="H254" i="2"/>
  <c r="H244" i="2"/>
  <c r="H233" i="2"/>
  <c r="H222" i="2"/>
  <c r="H212" i="2"/>
  <c r="H201" i="2"/>
  <c r="H190" i="2"/>
  <c r="H180" i="2"/>
  <c r="H169" i="2"/>
  <c r="H158" i="2"/>
  <c r="H148" i="2"/>
  <c r="H137" i="2"/>
  <c r="H126" i="2"/>
  <c r="H116" i="2"/>
  <c r="H105" i="2"/>
  <c r="H94" i="2"/>
  <c r="H84" i="2"/>
  <c r="H73" i="2"/>
  <c r="H62" i="2"/>
  <c r="H52" i="2"/>
  <c r="H41" i="2"/>
  <c r="H32" i="2"/>
  <c r="H24" i="2"/>
  <c r="H16" i="2"/>
  <c r="H8" i="2"/>
  <c r="H4316" i="2"/>
  <c r="H4060" i="2"/>
  <c r="H3854" i="2"/>
  <c r="H3684" i="2"/>
  <c r="H3513" i="2"/>
  <c r="H3372" i="2"/>
  <c r="H3258" i="2"/>
  <c r="H3145" i="2"/>
  <c r="H3039" i="2"/>
  <c r="H2954" i="2"/>
  <c r="H2869" i="2"/>
  <c r="H2783" i="2"/>
  <c r="H2698" i="2"/>
  <c r="H2629" i="2"/>
  <c r="H2565" i="2"/>
  <c r="H2501" i="2"/>
  <c r="H2437" i="2"/>
  <c r="H2373" i="2"/>
  <c r="H2309" i="2"/>
  <c r="H2245" i="2"/>
  <c r="H2181" i="2"/>
  <c r="H2129" i="2"/>
  <c r="H2086" i="2"/>
  <c r="H2044" i="2"/>
  <c r="H2001" i="2"/>
  <c r="H1958" i="2"/>
  <c r="H1916" i="2"/>
  <c r="H1876" i="2"/>
  <c r="H1844" i="2"/>
  <c r="H1812" i="2"/>
  <c r="H1780" i="2"/>
  <c r="H1748" i="2"/>
  <c r="H1716" i="2"/>
  <c r="H1684" i="2"/>
  <c r="H1652" i="2"/>
  <c r="H1620" i="2"/>
  <c r="H1588" i="2"/>
  <c r="H1556" i="2"/>
  <c r="H1524" i="2"/>
  <c r="H1492" i="2"/>
  <c r="H1460" i="2"/>
  <c r="H1428" i="2"/>
  <c r="H1396" i="2"/>
  <c r="H1364" i="2"/>
  <c r="H1332" i="2"/>
  <c r="H1300" i="2"/>
  <c r="H1268" i="2"/>
  <c r="H1236" i="2"/>
  <c r="H1204" i="2"/>
  <c r="H1172" i="2"/>
  <c r="H1140" i="2"/>
  <c r="H1108" i="2"/>
  <c r="H1076" i="2"/>
  <c r="H1044" i="2"/>
  <c r="H1012" i="2"/>
  <c r="H980" i="2"/>
  <c r="H948" i="2"/>
  <c r="H916" i="2"/>
  <c r="H884" i="2"/>
  <c r="H852" i="2"/>
  <c r="H820" i="2"/>
  <c r="H788" i="2"/>
  <c r="H756" i="2"/>
  <c r="H724" i="2"/>
  <c r="H692" i="2"/>
  <c r="H660" i="2"/>
  <c r="H628" i="2"/>
  <c r="H596" i="2"/>
  <c r="H564" i="2"/>
  <c r="H532" i="2"/>
  <c r="H500" i="2"/>
  <c r="H468" i="2"/>
  <c r="H436" i="2"/>
  <c r="H404" i="2"/>
  <c r="H372" i="2"/>
  <c r="H340" i="2"/>
  <c r="H308" i="2"/>
  <c r="H281" i="2"/>
  <c r="H260" i="2"/>
  <c r="H238" i="2"/>
  <c r="H217" i="2"/>
  <c r="H196" i="2"/>
  <c r="H174" i="2"/>
  <c r="H153" i="2"/>
  <c r="H132" i="2"/>
  <c r="H110" i="2"/>
  <c r="H89" i="2"/>
  <c r="H68" i="2"/>
  <c r="H46" i="2"/>
  <c r="H28" i="2"/>
  <c r="H12" i="2"/>
  <c r="H4655" i="2"/>
  <c r="H4211" i="2"/>
  <c r="H3984" i="2"/>
  <c r="H3797" i="2"/>
  <c r="H3626" i="2"/>
  <c r="H3456" i="2"/>
  <c r="H3334" i="2"/>
  <c r="H3221" i="2"/>
  <c r="H3108" i="2"/>
  <c r="H3011" i="2"/>
  <c r="H2926" i="2"/>
  <c r="H2841" i="2"/>
  <c r="H2755" i="2"/>
  <c r="H2672" i="2"/>
  <c r="H2608" i="2"/>
  <c r="H2544" i="2"/>
  <c r="H2480" i="2"/>
  <c r="H2416" i="2"/>
  <c r="H2352" i="2"/>
  <c r="H2288" i="2"/>
  <c r="H2224" i="2"/>
  <c r="H2160" i="2"/>
  <c r="H2114" i="2"/>
  <c r="H2072" i="2"/>
  <c r="H2029" i="2"/>
  <c r="H1986" i="2"/>
  <c r="H1944" i="2"/>
  <c r="H1901" i="2"/>
  <c r="H1865" i="2"/>
  <c r="H1833" i="2"/>
  <c r="H1801" i="2"/>
  <c r="H1769" i="2"/>
  <c r="H1737" i="2"/>
  <c r="H1705" i="2"/>
  <c r="H1673" i="2"/>
  <c r="H1641" i="2"/>
  <c r="H1609" i="2"/>
  <c r="H1577" i="2"/>
  <c r="H1545" i="2"/>
  <c r="H1513" i="2"/>
  <c r="H1481" i="2"/>
  <c r="H1449" i="2"/>
  <c r="H1417" i="2"/>
  <c r="H1385" i="2"/>
  <c r="H1353" i="2"/>
  <c r="H1321" i="2"/>
  <c r="H1289" i="2"/>
  <c r="H1257" i="2"/>
  <c r="H1225" i="2"/>
  <c r="H1193" i="2"/>
  <c r="H1161" i="2"/>
  <c r="H1129" i="2"/>
  <c r="H1097" i="2"/>
  <c r="H1065" i="2"/>
  <c r="H1033" i="2"/>
  <c r="H1001" i="2"/>
  <c r="H969" i="2"/>
  <c r="H937" i="2"/>
  <c r="H905" i="2"/>
  <c r="H873" i="2"/>
  <c r="H841" i="2"/>
  <c r="H809" i="2"/>
  <c r="H777" i="2"/>
  <c r="H745" i="2"/>
  <c r="H713" i="2"/>
  <c r="H681" i="2"/>
  <c r="H649" i="2"/>
  <c r="H617" i="2"/>
  <c r="H585" i="2"/>
  <c r="H553" i="2"/>
  <c r="H521" i="2"/>
  <c r="H489" i="2"/>
  <c r="H457" i="2"/>
  <c r="H425" i="2"/>
  <c r="H393" i="2"/>
  <c r="H361" i="2"/>
  <c r="H329" i="2"/>
  <c r="H297" i="2"/>
  <c r="H274" i="2"/>
  <c r="H253" i="2"/>
  <c r="H232" i="2"/>
  <c r="H210" i="2"/>
  <c r="H189" i="2"/>
  <c r="H168" i="2"/>
  <c r="H146" i="2"/>
  <c r="H125" i="2"/>
  <c r="H104" i="2"/>
  <c r="H82" i="2"/>
  <c r="H61" i="2"/>
  <c r="H40" i="2"/>
  <c r="H23" i="2"/>
  <c r="H7" i="2"/>
  <c r="H4373" i="2"/>
  <c r="H4097" i="2"/>
  <c r="H3882" i="2"/>
  <c r="H3712" i="2"/>
  <c r="H3541" i="2"/>
  <c r="H3392" i="2"/>
  <c r="H3278" i="2"/>
  <c r="H3164" i="2"/>
  <c r="H3054" i="2"/>
  <c r="H2969" i="2"/>
  <c r="H2883" i="2"/>
  <c r="H2798" i="2"/>
  <c r="H2713" i="2"/>
  <c r="H2640" i="2"/>
  <c r="H2576" i="2"/>
  <c r="H2512" i="2"/>
  <c r="H2448" i="2"/>
  <c r="H2384" i="2"/>
  <c r="H2320" i="2"/>
  <c r="H2256" i="2"/>
  <c r="H2192" i="2"/>
  <c r="H2136" i="2"/>
  <c r="H2093" i="2"/>
  <c r="H2050" i="2"/>
  <c r="H2008" i="2"/>
  <c r="H1965" i="2"/>
  <c r="H1922" i="2"/>
  <c r="H1881" i="2"/>
  <c r="H1849" i="2"/>
  <c r="H1817" i="2"/>
  <c r="H1785" i="2"/>
  <c r="H1753" i="2"/>
  <c r="H1721" i="2"/>
  <c r="H1689" i="2"/>
  <c r="H1657" i="2"/>
  <c r="H1625" i="2"/>
  <c r="H1593" i="2"/>
  <c r="H1561" i="2"/>
  <c r="H1529" i="2"/>
  <c r="H1497" i="2"/>
  <c r="H1465" i="2"/>
  <c r="H1433" i="2"/>
  <c r="H1401" i="2"/>
  <c r="H1369" i="2"/>
  <c r="H1337" i="2"/>
  <c r="H1305" i="2"/>
  <c r="H1273" i="2"/>
  <c r="H1241" i="2"/>
  <c r="H1209" i="2"/>
  <c r="H1177" i="2"/>
  <c r="H1145" i="2"/>
  <c r="H1113" i="2"/>
  <c r="H1081" i="2"/>
  <c r="H1049" i="2"/>
  <c r="H1017" i="2"/>
  <c r="H985" i="2"/>
  <c r="H953" i="2"/>
  <c r="H921" i="2"/>
  <c r="H889" i="2"/>
  <c r="H857" i="2"/>
  <c r="H825" i="2"/>
  <c r="H793" i="2"/>
  <c r="H761" i="2"/>
  <c r="H729" i="2"/>
  <c r="H697" i="2"/>
  <c r="H665" i="2"/>
  <c r="H633" i="2"/>
  <c r="H601" i="2"/>
  <c r="H569" i="2"/>
  <c r="H537" i="2"/>
  <c r="H505" i="2"/>
  <c r="H473" i="2"/>
  <c r="H441" i="2"/>
  <c r="H409" i="2"/>
  <c r="H377" i="2"/>
  <c r="H345" i="2"/>
  <c r="H313" i="2"/>
  <c r="H285" i="2"/>
  <c r="H264" i="2"/>
  <c r="H242" i="2"/>
  <c r="H221" i="2"/>
  <c r="H200" i="2"/>
  <c r="H178" i="2"/>
  <c r="H157" i="2"/>
  <c r="H136" i="2"/>
  <c r="H3769" i="2"/>
  <c r="H3201" i="2"/>
  <c r="H2826" i="2"/>
  <c r="H2533" i="2"/>
  <c r="H2277" i="2"/>
  <c r="H2065" i="2"/>
  <c r="H1894" i="2"/>
  <c r="H1764" i="2"/>
  <c r="H1636" i="2"/>
  <c r="H1508" i="2"/>
  <c r="H1380" i="2"/>
  <c r="H1252" i="2"/>
  <c r="H1124" i="2"/>
  <c r="H996" i="2"/>
  <c r="H868" i="2"/>
  <c r="H740" i="2"/>
  <c r="H612" i="2"/>
  <c r="H484" i="2"/>
  <c r="H356" i="2"/>
  <c r="H249" i="2"/>
  <c r="H164" i="2"/>
  <c r="H100" i="2"/>
  <c r="H57" i="2"/>
  <c r="H20" i="2"/>
  <c r="H4539" i="2"/>
  <c r="H3598" i="2"/>
  <c r="H3088" i="2"/>
  <c r="H2741" i="2"/>
  <c r="H2469" i="2"/>
  <c r="H2213" i="2"/>
  <c r="H2022" i="2"/>
  <c r="H1860" i="2"/>
  <c r="H1732" i="2"/>
  <c r="H1604" i="2"/>
  <c r="H1476" i="2"/>
  <c r="H1348" i="2"/>
  <c r="H1220" i="2"/>
  <c r="H1092" i="2"/>
  <c r="H964" i="2"/>
  <c r="H836" i="2"/>
  <c r="H708" i="2"/>
  <c r="H580" i="2"/>
  <c r="H452" i="2"/>
  <c r="H324" i="2"/>
  <c r="H228" i="2"/>
  <c r="H142" i="2"/>
  <c r="H93" i="2"/>
  <c r="H50" i="2"/>
  <c r="H15" i="2"/>
  <c r="H3429" i="2"/>
  <c r="H2997" i="2"/>
  <c r="H2661" i="2"/>
  <c r="H2405" i="2"/>
  <c r="H2150" i="2"/>
  <c r="H1980" i="2"/>
  <c r="H1700" i="2"/>
  <c r="H1572" i="2"/>
  <c r="H1444" i="2"/>
  <c r="H1316" i="2"/>
  <c r="H1188" i="2"/>
  <c r="H1060" i="2"/>
  <c r="H932" i="2"/>
  <c r="H804" i="2"/>
  <c r="H548" i="2"/>
  <c r="H420" i="2"/>
  <c r="H292" i="2"/>
  <c r="H206" i="2"/>
  <c r="H121" i="2"/>
  <c r="H78" i="2"/>
  <c r="H36" i="2"/>
  <c r="H4" i="2"/>
  <c r="H4173" i="2"/>
  <c r="H1828" i="2"/>
  <c r="H676" i="2"/>
  <c r="H2597" i="2"/>
  <c r="H1796" i="2"/>
  <c r="H1284" i="2"/>
  <c r="H772" i="2"/>
  <c r="H270" i="2"/>
  <c r="H31" i="2"/>
  <c r="H3947" i="2"/>
  <c r="H2341" i="2"/>
  <c r="H1668" i="2"/>
  <c r="H1156" i="2"/>
  <c r="H644" i="2"/>
  <c r="H185" i="2"/>
  <c r="H3316" i="2"/>
  <c r="H2108" i="2"/>
  <c r="H1540" i="2"/>
  <c r="H1028" i="2"/>
  <c r="H516" i="2"/>
  <c r="H114" i="2"/>
  <c r="H900" i="2"/>
  <c r="H2911" i="2"/>
  <c r="H388" i="2"/>
  <c r="H1412" i="2"/>
  <c r="H1937" i="2"/>
  <c r="H72" i="2"/>
  <c r="E10" i="2" l="1"/>
  <c r="E12" i="2"/>
  <c r="J22" i="1" s="1"/>
  <c r="E11" i="2"/>
  <c r="J20" i="1" s="1"/>
  <c r="E4" i="2"/>
  <c r="I20" i="1" s="1"/>
  <c r="E3" i="2"/>
  <c r="E5" i="2"/>
  <c r="I22" i="1" s="1"/>
  <c r="L22" i="1" l="1"/>
  <c r="L20" i="1"/>
  <c r="E6" i="2"/>
  <c r="I18" i="1"/>
  <c r="I24" i="1" s="1"/>
  <c r="E13" i="2"/>
  <c r="J18" i="1"/>
  <c r="L18" i="1" l="1"/>
  <c r="L24" i="1" s="1"/>
  <c r="J2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<sst xmlns="http://schemas.openxmlformats.org/spreadsheetml/2006/main" count="14725" uniqueCount="2576">
  <si>
    <t>Website Audit Pro</t>
  </si>
  <si>
    <t>Overview</t>
  </si>
  <si>
    <t>Target site:</t>
  </si>
  <si>
    <t>Date:</t>
  </si>
  <si>
    <t>This audit has been put together to help you make sense of how your website is performing. We pull together data from Google Search Console, Ahrefs, Screaming Frog and more to get a birds-eye view of SEO performance.</t>
  </si>
  <si>
    <t>Navigation:</t>
  </si>
  <si>
    <t>Summary:</t>
  </si>
  <si>
    <t>▶</t>
  </si>
  <si>
    <t>On-Page SEO</t>
  </si>
  <si>
    <t>Audit Findings</t>
  </si>
  <si>
    <t xml:space="preserve">Post-Launch                                        </t>
  </si>
  <si>
    <t>Position Change</t>
  </si>
  <si>
    <t>Keyword Research</t>
  </si>
  <si>
    <t># Of KWs</t>
  </si>
  <si>
    <t>Keyword Gap Analysis</t>
  </si>
  <si>
    <t>SEO Installation</t>
  </si>
  <si>
    <t>#1-5</t>
  </si>
  <si>
    <t>URL Equity</t>
  </si>
  <si>
    <t>Backlink Gap Analysis</t>
  </si>
  <si>
    <t>#6-10</t>
  </si>
  <si>
    <t>Redirect Chains</t>
  </si>
  <si>
    <t>Redirect Mapping</t>
  </si>
  <si>
    <t>#11+</t>
  </si>
  <si>
    <t>Competitor Comparison</t>
  </si>
  <si>
    <t>Content Audit</t>
  </si>
  <si>
    <t>TOTALS</t>
  </si>
  <si>
    <t>PageSpeed/Schema</t>
  </si>
  <si>
    <t>SEO / On-Site</t>
  </si>
  <si>
    <t>Part of Installation Process?</t>
  </si>
  <si>
    <t>Keyword Usage/Targeting</t>
  </si>
  <si>
    <t>We will pick the best keywords for each of your highest priority pages. We will use these when rewriting title tags &amp; meta descriptions.</t>
  </si>
  <si>
    <t>B-</t>
  </si>
  <si>
    <t>A number of the existing pages aren't targeting the high value/desired keywords provided. Keyword selection can be improved and worked into titles, meta descriptions and content.</t>
  </si>
  <si>
    <t>Title Tags</t>
  </si>
  <si>
    <t>We will rewrite title tags for your highest priority pages and install them on the website.</t>
  </si>
  <si>
    <t>B</t>
  </si>
  <si>
    <t xml:space="preserve">The existing title tags are okay, however there is room to improve many pages that just have a single phrase followed by the site name in titles. There is some keyword overlap as well that could be cleaned up. Additional location pages could help here as well.                              
                                        </t>
  </si>
  <si>
    <t>Meta Descriptions</t>
  </si>
  <si>
    <t>We will rewrite unique meta descriptions for your highest priority pages and install them on the website.</t>
  </si>
  <si>
    <t>D</t>
  </si>
  <si>
    <t xml:space="preserve">Few of the pages on the site have meta descriptions, and those that have them are not optimized. Descriptions, when written and optimized, can improve click through rates from search engines.                                        
                                        </t>
  </si>
  <si>
    <t>Redirects</t>
  </si>
  <si>
    <t>We will provide a list of redirects for your web developers to implement. In some cases we are able to fix these on our own.</t>
  </si>
  <si>
    <t>A</t>
  </si>
  <si>
    <t xml:space="preserve">No major redirect issues within the current site.                             
                                        </t>
  </si>
  <si>
    <t>Page Speed</t>
  </si>
  <si>
    <t>We will provide detailed recommendations to your web developers on where site speed can be improved.</t>
  </si>
  <si>
    <t>Given the site is on FMG Suite it might be difficult to change a lot. If you did want to look into something here you could check out the 3rd party scripts being loaded in like HotJar, Akamai, DoubleClick, etc.</t>
  </si>
  <si>
    <t>Schema Usage</t>
  </si>
  <si>
    <t>We will provide detailed recommendations to your web developers on how to implement the schema markup on your website.</t>
  </si>
  <si>
    <t>SEO / Off-Site</t>
  </si>
  <si>
    <t>Recommendations</t>
  </si>
  <si>
    <t>Link Profile</t>
  </si>
  <si>
    <t>An ongoing managed link building campaign to build on existing link profile, with more in-content links from relevant sites/blogs.</t>
  </si>
  <si>
    <t>C</t>
  </si>
  <si>
    <t>The current link profile seems ok, but it could use more quality links if they want to move ahead of the competition. They're behind compared to a few of the competitors they've noted.</t>
  </si>
  <si>
    <t>Anchor Text</t>
  </si>
  <si>
    <t xml:space="preserve">Build links with primarily branded anchors. Can lightly utilize partial match anchors on core service pages. Avoid exact match anchors. </t>
  </si>
  <si>
    <t>Local SEO</t>
  </si>
  <si>
    <t>Continue to encourage client reviews/ratings. Periodically add new photos or videos.</t>
  </si>
  <si>
    <t>The GMB setup is looking pretty good. We only saw one review though, and would recommend trying boost that number.</t>
  </si>
  <si>
    <t>Key Takeaways</t>
  </si>
  <si>
    <t>1. Re-evaluate keyword targeting for core landing pages. Update all titles and meta descriptions to utilize the highest value target/local keywords. If necessary, add additional pages to allow for proper keyword targeting of services.</t>
  </si>
  <si>
    <t xml:space="preserve">2. Start a high-authority link building campaign with link placement on relevant and industry focused sites. Stick with primarily branded anchors, but you could consider a light usage of partial match anchors on key service pages.                                                                                
                                                                                </t>
  </si>
  <si>
    <r>
      <rPr>
        <b/>
        <sz val="12"/>
        <color rgb="FF150044"/>
        <rFont val="Lato"/>
      </rPr>
      <t>4.</t>
    </r>
    <r>
      <rPr>
        <sz val="12"/>
        <color rgb="FF150044"/>
        <rFont val="Lato"/>
      </rPr>
      <t xml:space="preserve"> Given the platform, speed may be stuck where it is. If possible clean up any scripts that are no longer needed and continue to optimize images found on page.</t>
    </r>
  </si>
  <si>
    <t xml:space="preserve">Keywords in audit </t>
  </si>
  <si>
    <t>Position (rankings-1)</t>
  </si>
  <si>
    <t>Keywords rankings update</t>
  </si>
  <si>
    <t>TOTAL KW Positions</t>
  </si>
  <si>
    <t>investors ABC</t>
  </si>
  <si>
    <t/>
  </si>
  <si>
    <t>mike rogers</t>
  </si>
  <si>
    <t>what are income taxes</t>
  </si>
  <si>
    <t>what is tax income</t>
  </si>
  <si>
    <t>TOTAL</t>
  </si>
  <si>
    <t>what is an income tax</t>
  </si>
  <si>
    <t>socially responsible investing</t>
  </si>
  <si>
    <t>Post audit</t>
  </si>
  <si>
    <t>how do taxes work</t>
  </si>
  <si>
    <t>jeff thompson</t>
  </si>
  <si>
    <t>how does taxes work</t>
  </si>
  <si>
    <t>tax brackets married filing jointly</t>
  </si>
  <si>
    <t>how does tax work</t>
  </si>
  <si>
    <t>best retirement planning</t>
  </si>
  <si>
    <t>eoy</t>
  </si>
  <si>
    <t>ABC savings</t>
  </si>
  <si>
    <t>social security question</t>
  </si>
  <si>
    <t>socially responsible investment</t>
  </si>
  <si>
    <t>ABC p</t>
  </si>
  <si>
    <t>socially responsible investments</t>
  </si>
  <si>
    <t>social security offices minneapolis</t>
  </si>
  <si>
    <t>penny earned is a penny saved</t>
  </si>
  <si>
    <t>ABC life</t>
  </si>
  <si>
    <t>best wealth management firms</t>
  </si>
  <si>
    <t>credit ABC</t>
  </si>
  <si>
    <t>income limit for roth 401 k</t>
  </si>
  <si>
    <t>withdrawals from roth 401 k</t>
  </si>
  <si>
    <t>savings ABC</t>
  </si>
  <si>
    <t>top wealth management firms</t>
  </si>
  <si>
    <t>how does income tax work</t>
  </si>
  <si>
    <t>is a depression coming</t>
  </si>
  <si>
    <t>who is on the twenty dollar bill</t>
  </si>
  <si>
    <t>ABC strategies</t>
  </si>
  <si>
    <t>variable rate vs fixed</t>
  </si>
  <si>
    <t>ABC insurance</t>
  </si>
  <si>
    <t>tax planning strategies</t>
  </si>
  <si>
    <t>dan mahoney</t>
  </si>
  <si>
    <t>asset management vs wealth management</t>
  </si>
  <si>
    <t>who is on twenty dollar bill</t>
  </si>
  <si>
    <t>socially conscious investing</t>
  </si>
  <si>
    <t>best wealth management firm</t>
  </si>
  <si>
    <t>variable mortgage rate</t>
  </si>
  <si>
    <t>what defines a recession</t>
  </si>
  <si>
    <t>homes for sale wayzata mn</t>
  </si>
  <si>
    <t>buysell business</t>
  </si>
  <si>
    <t>ABC finance</t>
  </si>
  <si>
    <t>lifestyle ABC</t>
  </si>
  <si>
    <t>wealth management vs asset management</t>
  </si>
  <si>
    <t>ABC anatomy</t>
  </si>
  <si>
    <t>ABC financial</t>
  </si>
  <si>
    <t>money ABC</t>
  </si>
  <si>
    <t>a recession is a decline in</t>
  </si>
  <si>
    <t>wealth management top firms</t>
  </si>
  <si>
    <t>socially responsible funds</t>
  </si>
  <si>
    <t>when is earnings season</t>
  </si>
  <si>
    <t>where is market headed</t>
  </si>
  <si>
    <t>socially responsible investing companies</t>
  </si>
  <si>
    <t>estate ABC</t>
  </si>
  <si>
    <t>socially conscious investors</t>
  </si>
  <si>
    <t>lpl financial logo</t>
  </si>
  <si>
    <t>capital alliance</t>
  </si>
  <si>
    <t>alternative investment management</t>
  </si>
  <si>
    <t>best retirement planning companies</t>
  </si>
  <si>
    <t>evaluating risk</t>
  </si>
  <si>
    <t>in personal finance, what is considered a need?</t>
  </si>
  <si>
    <t>teachingmoney</t>
  </si>
  <si>
    <t>which of the following is not something you should consider when evaluating an investment advisor?</t>
  </si>
  <si>
    <t>lpl find an advisor</t>
  </si>
  <si>
    <t>estate planning vs will</t>
  </si>
  <si>
    <t>will vs estate planning</t>
  </si>
  <si>
    <t>what are income taxes used for</t>
  </si>
  <si>
    <t>whole ABC</t>
  </si>
  <si>
    <t>investment management vs asset management</t>
  </si>
  <si>
    <t>best retirement planning books</t>
  </si>
  <si>
    <t>events ABC</t>
  </si>
  <si>
    <t>boomers in the know</t>
  </si>
  <si>
    <t>top investment management firm</t>
  </si>
  <si>
    <t>what is socially responsible investing</t>
  </si>
  <si>
    <t>what is the estimated lifespan of a u.s. $1 bill</t>
  </si>
  <si>
    <t>www.lpl.com login</t>
  </si>
  <si>
    <t>asset management vs investment management</t>
  </si>
  <si>
    <t>100 20 dollar bills</t>
  </si>
  <si>
    <t>what are income tax</t>
  </si>
  <si>
    <t>best books on retirement planning</t>
  </si>
  <si>
    <t>aspire 401k login</t>
  </si>
  <si>
    <t>when was the 20 dollar bill made</t>
  </si>
  <si>
    <t>best book on retirement planning</t>
  </si>
  <si>
    <t>best books for retirement planning</t>
  </si>
  <si>
    <t>mortgage ABC</t>
  </si>
  <si>
    <t>works ABC</t>
  </si>
  <si>
    <t>moneychimp com</t>
  </si>
  <si>
    <t>rise ABC login</t>
  </si>
  <si>
    <t>ABC cycles</t>
  </si>
  <si>
    <t>best book for retirement planning</t>
  </si>
  <si>
    <t>best retirement planning book</t>
  </si>
  <si>
    <t>investment banking vs investment management</t>
  </si>
  <si>
    <t>best investment management firm</t>
  </si>
  <si>
    <t>financial planning images</t>
  </si>
  <si>
    <t>choppy seas</t>
  </si>
  <si>
    <t>wealth management vs investment banking</t>
  </si>
  <si>
    <t>best wealth management</t>
  </si>
  <si>
    <t>top investment management firms</t>
  </si>
  <si>
    <t>financial planner mn</t>
  </si>
  <si>
    <t>www ABC</t>
  </si>
  <si>
    <t>net ABC</t>
  </si>
  <si>
    <t>after tax 401k withdrawal</t>
  </si>
  <si>
    <t>$20 bills</t>
  </si>
  <si>
    <t>planned financial services</t>
  </si>
  <si>
    <t>private banking vs wealth management</t>
  </si>
  <si>
    <t>ABC financial group</t>
  </si>
  <si>
    <t>insurance ABC</t>
  </si>
  <si>
    <t>socially responsible investing funds</t>
  </si>
  <si>
    <t>wealth management minneapolis</t>
  </si>
  <si>
    <t>best investment management firms</t>
  </si>
  <si>
    <t>personal capital wealth management review</t>
  </si>
  <si>
    <t>exchange ABC</t>
  </si>
  <si>
    <t>lineweaver financial</t>
  </si>
  <si>
    <t>wealth management vs investment management</t>
  </si>
  <si>
    <t>mindfulness money</t>
  </si>
  <si>
    <t>financial planning minneapolis</t>
  </si>
  <si>
    <t>how does federal income tax work</t>
  </si>
  <si>
    <t>vanderpoel</t>
  </si>
  <si>
    <t>roth 401k tax deduction</t>
  </si>
  <si>
    <t>perseverance vs resilience</t>
  </si>
  <si>
    <t>current ABC</t>
  </si>
  <si>
    <t>best socially responsible funds</t>
  </si>
  <si>
    <t>true north financial</t>
  </si>
  <si>
    <t>wealth management vs private banking</t>
  </si>
  <si>
    <t>fmg portal</t>
  </si>
  <si>
    <t>the best definition of estate planning is</t>
  </si>
  <si>
    <t>investment banking vs wealth management</t>
  </si>
  <si>
    <t>nicholas financial login</t>
  </si>
  <si>
    <t>asset vs wealth management</t>
  </si>
  <si>
    <t>calendar ABC</t>
  </si>
  <si>
    <t>ABC wealth management</t>
  </si>
  <si>
    <t>vieyra</t>
  </si>
  <si>
    <t>ABC calendar</t>
  </si>
  <si>
    <t>the coming depression</t>
  </si>
  <si>
    <t>best estate planning books</t>
  </si>
  <si>
    <t>robert withers</t>
  </si>
  <si>
    <t>john ABC</t>
  </si>
  <si>
    <t>true north capital</t>
  </si>
  <si>
    <t>investment.risks</t>
  </si>
  <si>
    <t>socially conscious mutual funds</t>
  </si>
  <si>
    <t>money trouble</t>
  </si>
  <si>
    <t>moneychimp.com</t>
  </si>
  <si>
    <t>who's on the twenty dollar bill</t>
  </si>
  <si>
    <t>wealth management fees comparison</t>
  </si>
  <si>
    <t>investment management vs wealth management</t>
  </si>
  <si>
    <t>money management firms</t>
  </si>
  <si>
    <t>investment ABC</t>
  </si>
  <si>
    <t>john vanderpoel</t>
  </si>
  <si>
    <t>lake minnetonka triathlon</t>
  </si>
  <si>
    <t>merrill lynch wayzata</t>
  </si>
  <si>
    <t>investment management vs investment banking</t>
  </si>
  <si>
    <t>investment firms minneapolis</t>
  </si>
  <si>
    <t>which phrase defines gross domestic product (gdp)?</t>
  </si>
  <si>
    <t>at risk investment</t>
  </si>
  <si>
    <t>best wealth management books</t>
  </si>
  <si>
    <t>medigap ABC</t>
  </si>
  <si>
    <t>still ABC</t>
  </si>
  <si>
    <t>how do income tax brackets work</t>
  </si>
  <si>
    <t>what is pay yourself first</t>
  </si>
  <si>
    <t>estate sales minnetonka</t>
  </si>
  <si>
    <t>income shifting strategies</t>
  </si>
  <si>
    <t>lp financial inc</t>
  </si>
  <si>
    <t>when is the deadline for employers to send w2</t>
  </si>
  <si>
    <t>wealth management fee comparison</t>
  </si>
  <si>
    <t>advisor ABC</t>
  </si>
  <si>
    <t>ABC insurance company</t>
  </si>
  <si>
    <t>withers llc</t>
  </si>
  <si>
    <t>ubs wayzata</t>
  </si>
  <si>
    <t>what is the purpose of income taxes</t>
  </si>
  <si>
    <t>top wealth management company</t>
  </si>
  <si>
    <t>best wealth management banks</t>
  </si>
  <si>
    <t>best wealth management companies</t>
  </si>
  <si>
    <t>ABC financial literacy</t>
  </si>
  <si>
    <t>family planning enhanced fallout 4</t>
  </si>
  <si>
    <t>who is mike rogers</t>
  </si>
  <si>
    <t>merrill lynch minneapolis</t>
  </si>
  <si>
    <t>reside at 849</t>
  </si>
  <si>
    <t>capital alliance financial</t>
  </si>
  <si>
    <t>evolution finance inc</t>
  </si>
  <si>
    <t>the twenty dollar bill</t>
  </si>
  <si>
    <t>tariff means</t>
  </si>
  <si>
    <t>alternative investment management association</t>
  </si>
  <si>
    <t>best private wealth management firms</t>
  </si>
  <si>
    <t>best bank for wealth management</t>
  </si>
  <si>
    <t>rob withers</t>
  </si>
  <si>
    <t>variable morgage</t>
  </si>
  <si>
    <t>price wealth management</t>
  </si>
  <si>
    <t>best wealth management firms to work for</t>
  </si>
  <si>
    <t>best investment management companies</t>
  </si>
  <si>
    <t>best books on estate planning</t>
  </si>
  <si>
    <t>ABC investments</t>
  </si>
  <si>
    <t>rogers financial</t>
  </si>
  <si>
    <t>ABC investor</t>
  </si>
  <si>
    <t>morgan stanley wayzata</t>
  </si>
  <si>
    <t>file ABC</t>
  </si>
  <si>
    <t>how many 20 dollar bills in a bundle</t>
  </si>
  <si>
    <t>retirement services minneapolis mn</t>
  </si>
  <si>
    <t>truenorth capital</t>
  </si>
  <si>
    <t>top 10 wealth management firms</t>
  </si>
  <si>
    <t>top private wealth management firms</t>
  </si>
  <si>
    <t>top wealth management companies</t>
  </si>
  <si>
    <t>best investment management company</t>
  </si>
  <si>
    <t>top wealth management</t>
  </si>
  <si>
    <t>an economy is said to be in a recession if gdp declines for two or more consecutive quarters.</t>
  </si>
  <si>
    <t>ABC training basset</t>
  </si>
  <si>
    <t>global fund definition</t>
  </si>
  <si>
    <t>alternative investment management llc</t>
  </si>
  <si>
    <t>best online estate planning</t>
  </si>
  <si>
    <t>smart401k login</t>
  </si>
  <si>
    <t>rate ABC</t>
  </si>
  <si>
    <t>j ABC</t>
  </si>
  <si>
    <t>rebalancing your portfolio</t>
  </si>
  <si>
    <t>ABC mortgage payment</t>
  </si>
  <si>
    <t>big picture planning</t>
  </si>
  <si>
    <t>portfolio ABC</t>
  </si>
  <si>
    <t>active vs passive investment management</t>
  </si>
  <si>
    <t>best banks for wealth management</t>
  </si>
  <si>
    <t>best companies for wealth management</t>
  </si>
  <si>
    <t>best wealth management apps</t>
  </si>
  <si>
    <t>best wealth management company</t>
  </si>
  <si>
    <t>minnetonka triathlon</t>
  </si>
  <si>
    <t>rogers financial group</t>
  </si>
  <si>
    <t>info ABC</t>
  </si>
  <si>
    <t>financial companies in minneapolis</t>
  </si>
  <si>
    <t>wwwABC.com</t>
  </si>
  <si>
    <t>big puzzle net</t>
  </si>
  <si>
    <t>wealth management review</t>
  </si>
  <si>
    <t>top investment management</t>
  </si>
  <si>
    <t>best retirement planning calculator</t>
  </si>
  <si>
    <t>best private wealth management</t>
  </si>
  <si>
    <t>fidelity private wealth management review</t>
  </si>
  <si>
    <t>wealth management mn</t>
  </si>
  <si>
    <t>predict election results</t>
  </si>
  <si>
    <t>retirement planning images</t>
  </si>
  <si>
    <t>my handy ABC</t>
  </si>
  <si>
    <t>ABC analysis</t>
  </si>
  <si>
    <t>socially responsible companies to invest in</t>
  </si>
  <si>
    <t>davidson bookkeeping</t>
  </si>
  <si>
    <t>freedom financial az</t>
  </si>
  <si>
    <t>tax planning strategies for individuals</t>
  </si>
  <si>
    <t>whole life cash value chart</t>
  </si>
  <si>
    <t>alternative asset investment management</t>
  </si>
  <si>
    <t>best wealth management websites</t>
  </si>
  <si>
    <t>best retirement planning tools</t>
  </si>
  <si>
    <t>wills vs trusts estate planning</t>
  </si>
  <si>
    <t>ABC net</t>
  </si>
  <si>
    <t>mike rogers state street</t>
  </si>
  <si>
    <t>lifespan of a 1 dollar bill</t>
  </si>
  <si>
    <t>ABC divided by 50</t>
  </si>
  <si>
    <t>bounce ABC</t>
  </si>
  <si>
    <t>ABC service companies</t>
  </si>
  <si>
    <t>retire early homepage</t>
  </si>
  <si>
    <t>ABCiq</t>
  </si>
  <si>
    <t>which is not a basic tax planning strategy</t>
  </si>
  <si>
    <t>which of the following is not a self-employed retirement account?</t>
  </si>
  <si>
    <t>5553 dan</t>
  </si>
  <si>
    <t>income tax what is it</t>
  </si>
  <si>
    <t>best retirement planning tool</t>
  </si>
  <si>
    <t>estate planning trust vs will</t>
  </si>
  <si>
    <t>estate planning will vs trust</t>
  </si>
  <si>
    <t>trust vs estate planning</t>
  </si>
  <si>
    <t>medicare ABC</t>
  </si>
  <si>
    <t>ABC money</t>
  </si>
  <si>
    <t>bolg ABC</t>
  </si>
  <si>
    <t>tax bracket information</t>
  </si>
  <si>
    <t>how do us taxes work</t>
  </si>
  <si>
    <t>lpl financial aum</t>
  </si>
  <si>
    <t>whats an income tax</t>
  </si>
  <si>
    <t>research ABC</t>
  </si>
  <si>
    <t>how does tax work in america</t>
  </si>
  <si>
    <t>wealth management vs private equity</t>
  </si>
  <si>
    <t>alternative investment management firms</t>
  </si>
  <si>
    <t>top rated wealth management firms</t>
  </si>
  <si>
    <t>estate planning minneapolis</t>
  </si>
  <si>
    <t>passive vs active investment management</t>
  </si>
  <si>
    <t>best estate planning</t>
  </si>
  <si>
    <t>estate planning wills vs trusts</t>
  </si>
  <si>
    <t>medicaid ABC</t>
  </si>
  <si>
    <t>amy lemke</t>
  </si>
  <si>
    <t>ABC your life</t>
  </si>
  <si>
    <t>investment tax strategies</t>
  </si>
  <si>
    <t>savers on lake street</t>
  </si>
  <si>
    <t>merrill lynch wayzata mn</t>
  </si>
  <si>
    <t>which of the following is not a type of company that a socially responsible investor would support?</t>
  </si>
  <si>
    <t>blog ABC</t>
  </si>
  <si>
    <t>dos/ABC</t>
  </si>
  <si>
    <t>what is the average lifespan of a dollar bill</t>
  </si>
  <si>
    <t>official definition of recession</t>
  </si>
  <si>
    <t>ABC credit counseling</t>
  </si>
  <si>
    <t>question about social security</t>
  </si>
  <si>
    <t>what's ABC</t>
  </si>
  <si>
    <t>life of a dollar bill</t>
  </si>
  <si>
    <t>socially responsible investing examples</t>
  </si>
  <si>
    <t>alliance ABC</t>
  </si>
  <si>
    <t>personal tax planning software</t>
  </si>
  <si>
    <t>big picture retirement</t>
  </si>
  <si>
    <t>michael endall</t>
  </si>
  <si>
    <t>big picture twin cities</t>
  </si>
  <si>
    <t>the life of a dollar bill</t>
  </si>
  <si>
    <t>picture plan</t>
  </si>
  <si>
    <t>retirement tax planning software</t>
  </si>
  <si>
    <t>blue 20 dollar bill</t>
  </si>
  <si>
    <t>20 dollar bill worth</t>
  </si>
  <si>
    <t>investment management fees comparison</t>
  </si>
  <si>
    <t>estate planning partnership vs corporation</t>
  </si>
  <si>
    <t>best retirement planning websites</t>
  </si>
  <si>
    <t>wealth management firms minneapolis</t>
  </si>
  <si>
    <t>alternative investment management firm</t>
  </si>
  <si>
    <t>top wealth management firms minneapolis</t>
  </si>
  <si>
    <t>private wealth management vs wealth management</t>
  </si>
  <si>
    <t>private equity vs wealth management</t>
  </si>
  <si>
    <t>investment companies minneapolis</t>
  </si>
  <si>
    <t>kirsten davidson</t>
  </si>
  <si>
    <t>teresa goff</t>
  </si>
  <si>
    <t>speak with your wallet</t>
  </si>
  <si>
    <t>refined wealth management</t>
  </si>
  <si>
    <t>trade lake mutual</t>
  </si>
  <si>
    <t>1040a tax form and instructions</t>
  </si>
  <si>
    <t>free credit report ABC</t>
  </si>
  <si>
    <t>bounce it up ABC</t>
  </si>
  <si>
    <t>minnetonka official website</t>
  </si>
  <si>
    <t>minneapolis to ny</t>
  </si>
  <si>
    <t>net sane</t>
  </si>
  <si>
    <t>ABC blog</t>
  </si>
  <si>
    <t>socially responsible investment performance</t>
  </si>
  <si>
    <t>average life of a dollar bill</t>
  </si>
  <si>
    <t>lpl financial reviews and ratings</t>
  </si>
  <si>
    <t>asset management vs private wealth management</t>
  </si>
  <si>
    <t>investment management vs hedge fund</t>
  </si>
  <si>
    <t>estate planning llc vs. trust</t>
  </si>
  <si>
    <t>best estate planning websites</t>
  </si>
  <si>
    <t>best online wealth management</t>
  </si>
  <si>
    <t>top fee only wealth management firms</t>
  </si>
  <si>
    <t>private wealth management vs investment banking</t>
  </si>
  <si>
    <t>sofi wealth management review</t>
  </si>
  <si>
    <t>price on contemporary estate planning</t>
  </si>
  <si>
    <t>top investment management companies</t>
  </si>
  <si>
    <t>top us wealth management firms</t>
  </si>
  <si>
    <t>best retirement planning podcasts</t>
  </si>
  <si>
    <t>estate planning vs living trust</t>
  </si>
  <si>
    <t>top 40 wealth management firms</t>
  </si>
  <si>
    <t>investment management vs private equity</t>
  </si>
  <si>
    <t>investment companies in minnesota</t>
  </si>
  <si>
    <t>investment adviser certified compliance professional</t>
  </si>
  <si>
    <t>retirement ABC</t>
  </si>
  <si>
    <t>theresa goff</t>
  </si>
  <si>
    <t>tom ABC</t>
  </si>
  <si>
    <t>ABC mortgage customer care net</t>
  </si>
  <si>
    <t>michael rogers state street</t>
  </si>
  <si>
    <t>mindfulness and money</t>
  </si>
  <si>
    <t>what is the estimated lifespan of a us $1 bill</t>
  </si>
  <si>
    <t>ABC backups</t>
  </si>
  <si>
    <t>keogh contribution deadline</t>
  </si>
  <si>
    <t>fin ABC</t>
  </si>
  <si>
    <t>crazy market game</t>
  </si>
  <si>
    <t>gen xers millennials</t>
  </si>
  <si>
    <t>strategies ABC careers</t>
  </si>
  <si>
    <t>marcus winbush</t>
  </si>
  <si>
    <t>which government organization protects investors?</t>
  </si>
  <si>
    <t>an economy is officially in recession when:</t>
  </si>
  <si>
    <t>paying yourself first is an example of</t>
  </si>
  <si>
    <t>whole life insurance how it works</t>
  </si>
  <si>
    <t>top wealth management banks</t>
  </si>
  <si>
    <t>top private wealth management companies</t>
  </si>
  <si>
    <t>top wealth management firms to work for</t>
  </si>
  <si>
    <t>top 5 wealth management firms</t>
  </si>
  <si>
    <t>private equity vs investment management</t>
  </si>
  <si>
    <t>living will vs estate planning</t>
  </si>
  <si>
    <t>private wealth management vs asset management</t>
  </si>
  <si>
    <t>top independent wealth management firms</t>
  </si>
  <si>
    <t>the best wealth management firms</t>
  </si>
  <si>
    <t>retirement planning today course review</t>
  </si>
  <si>
    <t>what is the best wealth management firm</t>
  </si>
  <si>
    <t>is wealth management buy side</t>
  </si>
  <si>
    <t>best wealth management advisors</t>
  </si>
  <si>
    <t>best performing wealth management firms</t>
  </si>
  <si>
    <t>tom whitnah</t>
  </si>
  <si>
    <t>branch net lpl</t>
  </si>
  <si>
    <t>lpl branch net</t>
  </si>
  <si>
    <t>tax planning process</t>
  </si>
  <si>
    <t>how many 20 dollar bills in a band</t>
  </si>
  <si>
    <t>minneapolis financial firms</t>
  </si>
  <si>
    <t>associated financial group minnetonka mn</t>
  </si>
  <si>
    <t>mike rogers contact</t>
  </si>
  <si>
    <t>rogers internet login</t>
  </si>
  <si>
    <t>the dividend yield</t>
  </si>
  <si>
    <t>selling ABC</t>
  </si>
  <si>
    <t>rift client</t>
  </si>
  <si>
    <t>eden prairie presbyterian church</t>
  </si>
  <si>
    <t>ABC financial group final expense</t>
  </si>
  <si>
    <t>ubs wayzata mn</t>
  </si>
  <si>
    <t>nick financial</t>
  </si>
  <si>
    <t>define socially responsible investing</t>
  </si>
  <si>
    <t>capitalalliance</t>
  </si>
  <si>
    <t>lifeABC financial planning</t>
  </si>
  <si>
    <t>20 dollar change</t>
  </si>
  <si>
    <t>financial firms in minneapolis</t>
  </si>
  <si>
    <t>home insurance minnetonka</t>
  </si>
  <si>
    <t>wealth management purchase</t>
  </si>
  <si>
    <t>private banking vs private wealth management</t>
  </si>
  <si>
    <t>best books on investment management</t>
  </si>
  <si>
    <t>list of top wealth management firms</t>
  </si>
  <si>
    <t>investment management firms minneapolis</t>
  </si>
  <si>
    <t>investment management review</t>
  </si>
  <si>
    <t>top 10 investment management firms</t>
  </si>
  <si>
    <t>top wealth management books</t>
  </si>
  <si>
    <t>investment management inc minneapolis</t>
  </si>
  <si>
    <t>cheap estate planning</t>
  </si>
  <si>
    <t>alternative investment management companies</t>
  </si>
  <si>
    <t>top private wealth management banks</t>
  </si>
  <si>
    <t>wealth management comparison</t>
  </si>
  <si>
    <t>top rated retirement planning companies</t>
  </si>
  <si>
    <t>top global wealth management firms</t>
  </si>
  <si>
    <t>top 20 wealth management firms</t>
  </si>
  <si>
    <t>top wealth management firms seattle</t>
  </si>
  <si>
    <t>wealth management minneapolis mn</t>
  </si>
  <si>
    <t>top estate planning firms</t>
  </si>
  <si>
    <t>top 100 investment management firms</t>
  </si>
  <si>
    <t>best mba for investment management</t>
  </si>
  <si>
    <t>top wealth management advisors</t>
  </si>
  <si>
    <t>top retirement planning companies</t>
  </si>
  <si>
    <t>best mutual fund for retirement planning</t>
  </si>
  <si>
    <t>private banking vs wealth management difference</t>
  </si>
  <si>
    <t>minneapolis estate planning council</t>
  </si>
  <si>
    <t>true potential wealth management review</t>
  </si>
  <si>
    <t>alternative investment management directive</t>
  </si>
  <si>
    <t>best advice for retirement planning</t>
  </si>
  <si>
    <t>top ten wealth management companies</t>
  </si>
  <si>
    <t>best online retirement planning calculator</t>
  </si>
  <si>
    <t>top estate planning mistakes</t>
  </si>
  <si>
    <t>best private wealth management banks</t>
  </si>
  <si>
    <t>wealth management group minneapolis</t>
  </si>
  <si>
    <t>best estate planning firms</t>
  </si>
  <si>
    <t>minneapolis retirement planning</t>
  </si>
  <si>
    <t>diversified wealth management minneapolis mn</t>
  </si>
  <si>
    <t>top 20 investment management firms</t>
  </si>
  <si>
    <t>t rowe price wealth management</t>
  </si>
  <si>
    <t>top 10 investment management companies</t>
  </si>
  <si>
    <t>alternative investment management certification</t>
  </si>
  <si>
    <t>top ten wealth management firms</t>
  </si>
  <si>
    <t>top 50 investment management firms</t>
  </si>
  <si>
    <t>best rated wealth management firms</t>
  </si>
  <si>
    <t>best online retirement planning tools</t>
  </si>
  <si>
    <t>top ranked wealth management firms</t>
  </si>
  <si>
    <t>top 50 wealth management firms</t>
  </si>
  <si>
    <t>top performing wealth management firms</t>
  </si>
  <si>
    <t>top rated wealth management companies</t>
  </si>
  <si>
    <t>top wealth management platforms</t>
  </si>
  <si>
    <t>top 10 private wealth management firms</t>
  </si>
  <si>
    <t>alternative asset investment management securities, llc</t>
  </si>
  <si>
    <t>best investment management websites</t>
  </si>
  <si>
    <t>digital estate planning review</t>
  </si>
  <si>
    <t>wealth management vs investment banking salaries</t>
  </si>
  <si>
    <t>top 10 wealth management companies</t>
  </si>
  <si>
    <t>ABC financial group llc</t>
  </si>
  <si>
    <t>financial firms minneapolis</t>
  </si>
  <si>
    <t>true north capital management</t>
  </si>
  <si>
    <t>estate tax planning software</t>
  </si>
  <si>
    <t>financial-net.com</t>
  </si>
  <si>
    <t>who is ABC</t>
  </si>
  <si>
    <t>fsa broker check</t>
  </si>
  <si>
    <t>a type of stock that involves more risk</t>
  </si>
  <si>
    <t>which is not a type of company that a socially responsible investor would support</t>
  </si>
  <si>
    <t>mt eden investment advisors</t>
  </si>
  <si>
    <t>stock market trends during election years</t>
  </si>
  <si>
    <t>ABC times 20</t>
  </si>
  <si>
    <t>financial services mn</t>
  </si>
  <si>
    <t>north capital inc</t>
  </si>
  <si>
    <t>bill ellermeyer</t>
  </si>
  <si>
    <t>alternative investment management and research</t>
  </si>
  <si>
    <t>alternative investment management symposium</t>
  </si>
  <si>
    <t>who is the best wealth management firm</t>
  </si>
  <si>
    <t>top estate planning questions</t>
  </si>
  <si>
    <t>top recruiter for wealth management</t>
  </si>
  <si>
    <t>wealth management vs private wealth management</t>
  </si>
  <si>
    <t>jeff thompson insurance</t>
  </si>
  <si>
    <t>mike endall</t>
  </si>
  <si>
    <t>ameriprise edina office</t>
  </si>
  <si>
    <t>capital one ABC money market beneficiary</t>
  </si>
  <si>
    <t>rift tips</t>
  </si>
  <si>
    <t>what type of socially responsible fund would you invest in</t>
  </si>
  <si>
    <t>#</t>
  </si>
  <si>
    <t>Keyword</t>
  </si>
  <si>
    <t>Position</t>
  </si>
  <si>
    <t>Position History</t>
  </si>
  <si>
    <t>Position History Date</t>
  </si>
  <si>
    <t>Volume</t>
  </si>
  <si>
    <t>URL</t>
  </si>
  <si>
    <t>Difficulty</t>
  </si>
  <si>
    <t>Traffic (desc)</t>
  </si>
  <si>
    <t>CPC</t>
  </si>
  <si>
    <t>Last Update</t>
  </si>
  <si>
    <t>Page URL inside</t>
  </si>
  <si>
    <t>SERP Features</t>
  </si>
  <si>
    <t>Sitelinks, Top stories, Video</t>
  </si>
  <si>
    <t>Adwords bottom</t>
  </si>
  <si>
    <t>Image pack</t>
  </si>
  <si>
    <t>Sitelinks, Top stories, Video, Image pack</t>
  </si>
  <si>
    <t>Sitelinks</t>
  </si>
  <si>
    <t>People also ask, Sitelinks, Top stories, Video, Image pack</t>
  </si>
  <si>
    <t>Sitelinks, Top stories, Video, Thumbnail, Image pack</t>
  </si>
  <si>
    <t>Adwords top, Sitelinks, Top stories, Thumbnail, Video</t>
  </si>
  <si>
    <t>Image pack, Top stories, Video, Sitelinks</t>
  </si>
  <si>
    <t>Adwords top, Sitelinks, Adwords bottom</t>
  </si>
  <si>
    <t>invest ABC</t>
  </si>
  <si>
    <t>Sitelinks, Top stories, Video, Thumbnail</t>
  </si>
  <si>
    <t>Image pack, Top stories, Video</t>
  </si>
  <si>
    <t>Sitelinks, Top stories, Thumbnail, Video</t>
  </si>
  <si>
    <t>People also ask, Sitelinks, Top stories, Video</t>
  </si>
  <si>
    <t>Sitelinks, Image pack, Top stories, Video</t>
  </si>
  <si>
    <t>Sitelinks, Video, Image pack</t>
  </si>
  <si>
    <t>Sitelinks, Image pack, Video</t>
  </si>
  <si>
    <t>Video, Image pack</t>
  </si>
  <si>
    <t>Adwords top, Sitelinks, People also ask</t>
  </si>
  <si>
    <t>Featured snippet, People also ask</t>
  </si>
  <si>
    <t>Video, Thumbnail, Sitelinks</t>
  </si>
  <si>
    <t>Adwords top, Sitelinks, Top stories, Video, Image pack</t>
  </si>
  <si>
    <t>Sitelinks, Video</t>
  </si>
  <si>
    <t>Featured snippet, People also ask, Image pack</t>
  </si>
  <si>
    <t>Adwords top, Sitelinks, People also ask, Top stories, Video</t>
  </si>
  <si>
    <t>Sitelinks, People also ask, Top stories, Video</t>
  </si>
  <si>
    <t>Adwords top, Sitelinks, Top stories, Video</t>
  </si>
  <si>
    <t>Sitelinks, Top stories, Thumbnail</t>
  </si>
  <si>
    <t>Featured snippet, People also ask, Top stories, Video</t>
  </si>
  <si>
    <t>Image pack, Sitelinks</t>
  </si>
  <si>
    <t>Sitelinks, People also ask, Image pack, Top stories, Video</t>
  </si>
  <si>
    <t>Featured snippet, People also ask, Sitelinks</t>
  </si>
  <si>
    <t>Sitelinks, Image pack</t>
  </si>
  <si>
    <t>Knowledge card, People also ask, Top stories, Video, Thumbnail</t>
  </si>
  <si>
    <t>Sitelinks, People also ask</t>
  </si>
  <si>
    <t>People also ask, Image pack</t>
  </si>
  <si>
    <t>Adwords top, Featured snippet, Thumbnail, People also ask, Sitelinks, Top stories, Video, Image pack</t>
  </si>
  <si>
    <t>Featured snippet</t>
  </si>
  <si>
    <t>Featured snippet, Thumbnail, Sitelinks, Top stories, Video, Image pack</t>
  </si>
  <si>
    <t>People also ask</t>
  </si>
  <si>
    <t>Adwords top, Sitelinks, People also ask, Image pack</t>
  </si>
  <si>
    <t>Top stories, Video</t>
  </si>
  <si>
    <t>Adwords top, People also ask, Top stories, Video, Sitelinks</t>
  </si>
  <si>
    <t>Featured snippet, Sitelinks, Top stories, Video</t>
  </si>
  <si>
    <t>Featured snippet, People also ask, Sitelinks, Top stories, Video</t>
  </si>
  <si>
    <t>Adwords top, Featured snippet, Sitelinks, People also ask, Adwords bottom</t>
  </si>
  <si>
    <t>Top stories, Video, Sitelinks</t>
  </si>
  <si>
    <t>Adwords top, Adwords bottom</t>
  </si>
  <si>
    <t>Sitelinks, People also ask, Top stories, Video, Image pack</t>
  </si>
  <si>
    <t>Adwords top, Sitelinks, Image pack</t>
  </si>
  <si>
    <t>Featured snippet, Sitelinks, People also ask, Top stories, Video</t>
  </si>
  <si>
    <t>Sitelinks, Video, Thumbnail</t>
  </si>
  <si>
    <t>Adwords top, People also ask, Adwords bottom</t>
  </si>
  <si>
    <t>Adwords top, People also ask, Image pack, Video</t>
  </si>
  <si>
    <t>Sitelinks, Tweet box, Top stories, Video, Image pack</t>
  </si>
  <si>
    <t>People also ask, Top stories, Video, Adwords bottom</t>
  </si>
  <si>
    <t>Video</t>
  </si>
  <si>
    <t>Featured snippet, Thumbnail, People also ask</t>
  </si>
  <si>
    <t>Featured snippet, Thumbnail, People also ask, Sitelinks, Top stories, Video</t>
  </si>
  <si>
    <t>Adwords top, Featured snippet, Thumbnail, People also ask, Sitelinks, Top stories, Video, Adwords bottom</t>
  </si>
  <si>
    <t>Featured snippet, People also ask, Image pack, Top stories, Video, Sitelinks</t>
  </si>
  <si>
    <t>Sitelinks, Tweet box</t>
  </si>
  <si>
    <t>People also ask, Sitelinks</t>
  </si>
  <si>
    <t>Featured snippet, People also ask, Video, Top stories, Image pack</t>
  </si>
  <si>
    <t>People also ask, Top stories, Video</t>
  </si>
  <si>
    <t>Top stories, Video, Thumbnail</t>
  </si>
  <si>
    <t>Sitelinks, Top stories, Video, People also ask</t>
  </si>
  <si>
    <t>Featured snippet, Thumbnail, People also ask, Sitelinks</t>
  </si>
  <si>
    <t>Featured snippet, Thumbnail, People also ask, Tweet box, Top stories, Video</t>
  </si>
  <si>
    <t>Featured snippet, Sitelinks, Adwords bottom</t>
  </si>
  <si>
    <t>Top stories, Video, Image pack</t>
  </si>
  <si>
    <t>People also ask, Top stories, Video, Sitelinks</t>
  </si>
  <si>
    <t>Top stories, Video, People also ask, Thumbnail, Image pack</t>
  </si>
  <si>
    <t>Video, Sitelinks, Adwords bottom</t>
  </si>
  <si>
    <t>Adwords top, People also ask, Sitelinks, Adwords bottom</t>
  </si>
  <si>
    <t>Featured snippet, People also ask, Sitelinks, Video</t>
  </si>
  <si>
    <t>Adwords top, Sitelinks, Top stories, Video, Adwords bottom</t>
  </si>
  <si>
    <t>Sitelinks, People also ask, Video, Image pack</t>
  </si>
  <si>
    <t>Image pack, Sitelinks, Thumbnail</t>
  </si>
  <si>
    <t>Image pack, People also ask, Sitelinks, Top stories, Video</t>
  </si>
  <si>
    <t>Adwords top, Featured snippet, People also ask, Top stories, Video</t>
  </si>
  <si>
    <t>Sitelinks, People also ask, Image pack</t>
  </si>
  <si>
    <t>Image pack, Sitelinks, People also ask, Tweet box</t>
  </si>
  <si>
    <t>Adwords top, People also ask, Top stories, Video, Adwords bottom</t>
  </si>
  <si>
    <t>Thumbnail, People also ask, Top stories, Video, Sitelinks, Image pack</t>
  </si>
  <si>
    <t>Featured snippet, Thumbnail, Sitelinks, Video, Image pack</t>
  </si>
  <si>
    <t>Knowledge card</t>
  </si>
  <si>
    <t>Sitelinks, People also ask, Adwords bottom</t>
  </si>
  <si>
    <t>Knowledge card, People also ask, Sitelinks, Top stories, Video</t>
  </si>
  <si>
    <t>Featured snippet, Thumbnail, People also ask, Sitelinks, Video</t>
  </si>
  <si>
    <t>People also ask, Top stories, Video, Image pack, Sitelinks</t>
  </si>
  <si>
    <t>Knowledge card, Video</t>
  </si>
  <si>
    <t>Featured snippet, Thumbnail, People also ask, Adwords bottom</t>
  </si>
  <si>
    <t>Featured snippet, Thumbnail, Sitelinks, Top stories, Video</t>
  </si>
  <si>
    <t>Adwords top, Sitelinks, Top stories, Video, People also ask, Adwords bottom</t>
  </si>
  <si>
    <t>Image pack, People also ask, Sitelinks</t>
  </si>
  <si>
    <t>Adwords top, People also ask, Sitelinks</t>
  </si>
  <si>
    <t>People also ask, Sitelinks, Image pack</t>
  </si>
  <si>
    <t>Image pack, People also ask, Top stories, Video, Thumbnail</t>
  </si>
  <si>
    <t>Featured snippet, Thumbnail, People also ask, Top stories, Video, Sitelinks</t>
  </si>
  <si>
    <t>Featured snippet, People also ask, Video</t>
  </si>
  <si>
    <t>People also ask, Image pack, Top stories, Video</t>
  </si>
  <si>
    <t>People also ask, Video, Adwords bottom</t>
  </si>
  <si>
    <t>Adwords top, Top stories, Video</t>
  </si>
  <si>
    <t>Adwords top, Sitelinks, Video</t>
  </si>
  <si>
    <t>Adwords top, People also ask, Sitelinks, Top stories, Video</t>
  </si>
  <si>
    <t>PAGE TITLES</t>
  </si>
  <si>
    <t>META DESCRIPTIONS</t>
  </si>
  <si>
    <t>HEADINGS</t>
  </si>
  <si>
    <t>STATUS CODE</t>
  </si>
  <si>
    <t>INDEXABILITY STATUS</t>
  </si>
  <si>
    <t>TITLE</t>
  </si>
  <si>
    <t>TITLE LENGTH</t>
  </si>
  <si>
    <t>LENGTH (CHARS)</t>
  </si>
  <si>
    <t>PIXEL WIDTH</t>
  </si>
  <si>
    <t>META DESCRIPTION</t>
  </si>
  <si>
    <t>META LENGTH</t>
  </si>
  <si>
    <t>H1</t>
  </si>
  <si>
    <t>H1-2</t>
  </si>
  <si>
    <t>H2-1</t>
  </si>
  <si>
    <t>H2-2</t>
  </si>
  <si>
    <t>WORD COUNT</t>
  </si>
  <si>
    <t>✅</t>
  </si>
  <si>
    <t>As a boutique wealth management firm, we work hard to get to know you and your family so we can better understand what you need now, and in the future</t>
  </si>
  <si>
    <t>What We Do</t>
  </si>
  <si>
    <t>❌</t>
  </si>
  <si>
    <t>OUR GOAL IS TO HELP YOU REACH YOURS</t>
  </si>
  <si>
    <t>A family-owned practice with big firm capabilities</t>
  </si>
  <si>
    <t>Blog</t>
  </si>
  <si>
    <t>Key Tax Deadlines for 2021</t>
  </si>
  <si>
    <t>IRA vs. 401(k): What Savers Should Know</t>
  </si>
  <si>
    <t>12 Estate Planning Must-Dos</t>
  </si>
  <si>
    <t>30 Important Questions to Answer about Your Will- ABC Blog</t>
  </si>
  <si>
    <t>30 Important Questions to Answer about Your Will</t>
  </si>
  <si>
    <t>4 Things You Should Know About The Midterms</t>
  </si>
  <si>
    <t>5 Steps to Take Before You're 65</t>
  </si>
  <si>
    <t>5 Ways to Build A Better Tax Plan</t>
  </si>
  <si>
    <t>529 Savings Plans vs. Prepaid Tuition Plans</t>
  </si>
  <si>
    <t>Who can offer each type of plan?</t>
  </si>
  <si>
    <t>How does each plan work?</t>
  </si>
  <si>
    <t>6 Things to Know about Retirement and the Coronavirus Relief Bill</t>
  </si>
  <si>
    <t>6 Ways to a Happier Retirement</t>
  </si>
  <si>
    <t>7 Things to Know About the USA-China Trade Dispute</t>
  </si>
  <si>
    <t>Adding a Personal Backup With a Living Trust</t>
  </si>
  <si>
    <t>Appropriate Checklists for Year-End Tax Planning</t>
  </si>
  <si>
    <t>What are appropriate checklists for year-end tax planning?</t>
  </si>
  <si>
    <t>Filing status and dependents</t>
  </si>
  <si>
    <t>Having trouble saving for retirement AND college for the kids? Here are some tips to help you do both!</t>
  </si>
  <si>
    <t>Balancing Act: Saving for Both Retirement and College</t>
  </si>
  <si>
    <t>Getting a Late Start</t>
  </si>
  <si>
    <t>Planning Is Key</t>
  </si>
  <si>
    <t>Big Annual Declines Are Rare</t>
  </si>
  <si>
    <t>Breaking Down the Inverted Yield Curve</t>
  </si>
  <si>
    <t>Coping With Market Volatility in Uncertain Times</t>
  </si>
  <si>
    <t>Source</t>
  </si>
  <si>
    <t>Dirty Dozen Retirement Planning Mistakes</t>
  </si>
  <si>
    <t>Eleven Ways to Help Yourself Stay Sane in a Crazy Market</t>
  </si>
  <si>
    <t>End of Year (EOY) Deadlines Checklist</t>
  </si>
  <si>
    <t>Establish or Contribute to a Keogh Plan or Solo 401(k)</t>
  </si>
  <si>
    <t>Take Required Minimum Distributions (RMDs) </t>
  </si>
  <si>
    <t>End of Year Planning: Set Goals and Reduce Taxes</t>
  </si>
  <si>
    <t>Maximize Your Retirement Savings</t>
  </si>
  <si>
    <t>Investigate a Roth or Backdoor Roth</t>
  </si>
  <si>
    <t>Evaluating Investment Risk</t>
  </si>
  <si>
    <t>Getting a Jump on January Tax Season</t>
  </si>
  <si>
    <t>Check and Adjust Your Withholdings</t>
  </si>
  <si>
    <t>Get Organized</t>
  </si>
  <si>
    <t>How much is enough?</t>
  </si>
  <si>
    <t>Building your cash reserve</t>
  </si>
  <si>
    <t>Have Stay-At-Home Growth Stocks Peaked?</t>
  </si>
  <si>
    <t>During times like this, it can be tempting to focus on factors outside your control: things like account balances and rates of return.</t>
  </si>
  <si>
    <t>How Our Economy Can Bounce Back</t>
  </si>
  <si>
    <t>How Quickly Can Stocks Recover From COVID-19?</t>
  </si>
  <si>
    <t>How to Protect Your Wealth as You Get Older</t>
  </si>
  <si>
    <t>Sources</t>
  </si>
  <si>
    <t>How to Reduce Retirement Anxiety</t>
  </si>
  <si>
    <t>Invest Your Tax Refund</t>
  </si>
  <si>
    <t>Investing in an Election Year</t>
  </si>
  <si>
    <t>Past performance is no guarantee of future results.</t>
  </si>
  <si>
    <t>Is a Depression Coming?</t>
  </si>
  <si>
    <t>Market Volatility Stresses Liquidity</t>
  </si>
  <si>
    <t>Mid-Term Market Volatility</t>
  </si>
  <si>
    <t>Post Mid-Term Market Volatility</t>
  </si>
  <si>
    <t>Mid-Year Outlook 2019</t>
  </si>
  <si>
    <t>New Year's Resolutions to Get Your Finances in Order</t>
  </si>
  <si>
    <t>Positive Signs From China on COVID-19</t>
  </si>
  <si>
    <t>LPL strategists review the impact of recent economic data and explain that well-deserved pullback odds are increasing.</t>
  </si>
  <si>
    <t>Pulse Check: Should You Ignore the Economic Data and Pullback Odds Are Increasing</t>
  </si>
  <si>
    <t>Putting Things in Perspective</t>
  </si>
  <si>
    <t>Q&amp;A on the Trade War with China</t>
  </si>
  <si>
    <t>Recognizing and Avoiding Online Scams</t>
  </si>
  <si>
    <t>Resilience, Perseverance, and Innovation</t>
  </si>
  <si>
    <t>Retirement Income Planning</t>
  </si>
  <si>
    <t>Social Security and Medicare are funded primarily through the collection of payroll taxes.</t>
  </si>
  <si>
    <t>Social Security Trust Funds</t>
  </si>
  <si>
    <t>Highlights of Social Security Trustees Report</t>
  </si>
  <si>
    <t>Screens based on specific ESG factors may eliminate from consideration companies whose products or actions are deemed contrary to the public good.</t>
  </si>
  <si>
    <t>Socially Responsible Investing</t>
  </si>
  <si>
    <t>Screening potential investments</t>
  </si>
  <si>
    <t>Shareholder activism</t>
  </si>
  <si>
    <t>Surviving the Holiday Spending Season…Debt Free!</t>
  </si>
  <si>
    <t>Tax Identity Theft Awareness Protecting Yourself from Tax Identity Theft</t>
  </si>
  <si>
    <t>Tax Identity Theft Awareness: Protecting Yourself from Tax Identity Theft</t>
  </si>
  <si>
    <t>When starting a business, you must consider a number of tax-related issues. Although business tax planning is a complicated area</t>
  </si>
  <si>
    <t>Tax Planning for Business Owners</t>
  </si>
  <si>
    <t>What is business tax planning?</t>
  </si>
  <si>
    <t>What are the tax consequences of business formation?</t>
  </si>
  <si>
    <t>Tax planning for income usually involves strategies for minimizing your taxable income.</t>
  </si>
  <si>
    <t>Tax Planning for Income</t>
  </si>
  <si>
    <t>What is tax planning for income?</t>
  </si>
  <si>
    <t>Why is it important for you to understand the concept of income?</t>
  </si>
  <si>
    <t>Tax Reform and Tax Preparation</t>
  </si>
  <si>
    <t>Teaching Money Mindfulness to Your Children</t>
  </si>
  <si>
    <t>A Family Budget</t>
  </si>
  <si>
    <t>Visual Aids</t>
  </si>
  <si>
    <t>The Covid-19 Battle</t>
  </si>
  <si>
    <t>The fallout of the COVID-19 pandemic has made the need for a healthy savings account clearer than ever.</t>
  </si>
  <si>
    <t>Three Steps to Build Your Savings</t>
  </si>
  <si>
    <t>Take Advantage of Free Money</t>
  </si>
  <si>
    <t>Pay Yourself First</t>
  </si>
  <si>
    <t>Millennials</t>
  </si>
  <si>
    <t>Gen Xers</t>
  </si>
  <si>
    <t>What Is in the $2 Trillion Relief Package?</t>
  </si>
  <si>
    <t>Help for Families</t>
  </si>
  <si>
    <t>Expanded Unemployment</t>
  </si>
  <si>
    <t>What President Trump's tariff means for YOU</t>
  </si>
  <si>
    <t>Educating you on the new tariff</t>
  </si>
  <si>
    <t>What President Trump's Tariff Means for YOU</t>
  </si>
  <si>
    <t>This blog article outlines your choices for managing money in a 401(k)  that's still in a former employer's retirement plan.</t>
  </si>
  <si>
    <t>What to Do With Your 401(k) When Changing Jobs</t>
  </si>
  <si>
    <t>Uncle Sam Loves Cash Distributions</t>
  </si>
  <si>
    <t>Research Your Options</t>
  </si>
  <si>
    <t>What You Need To File Your Taxes</t>
  </si>
  <si>
    <t>When Will The Recession Officially Start?</t>
  </si>
  <si>
    <t>Where's Your Spouse??</t>
  </si>
  <si>
    <t>Where's Your Spouse?</t>
  </si>
  <si>
    <t>Why A Potential Democrat Sweep May Not Be A Market Worry</t>
  </si>
  <si>
    <t>Contact</t>
  </si>
  <si>
    <t>Have A Question?</t>
  </si>
  <si>
    <t>noindex</t>
  </si>
  <si>
    <t>Personal Information Form</t>
  </si>
  <si>
    <t>Redirected</t>
  </si>
  <si>
    <t>INTERESTING PEOPLE DOING COOL THINGS</t>
  </si>
  <si>
    <t>Join Team ABC</t>
  </si>
  <si>
    <t>LPL Research</t>
  </si>
  <si>
    <t>OUR TEAM</t>
  </si>
  <si>
    <t>Client Centered</t>
  </si>
  <si>
    <t>Business Owners</t>
  </si>
  <si>
    <t>Services for Business Owners</t>
  </si>
  <si>
    <t>We enjoy spending time and getting to know our clients outside of office meetings.</t>
  </si>
  <si>
    <t>Our Community</t>
  </si>
  <si>
    <t>The Twins Training Camp Game </t>
  </si>
  <si>
    <t>Lake Minnetonka Triathlon 2019</t>
  </si>
  <si>
    <t>Webinars</t>
  </si>
  <si>
    <t>Resource Center</t>
  </si>
  <si>
    <t>Resources</t>
  </si>
  <si>
    <t>Estate</t>
  </si>
  <si>
    <t>Insurance</t>
  </si>
  <si>
    <t>All Articles</t>
  </si>
  <si>
    <t>Retirement</t>
  </si>
  <si>
    <t>All Calculators</t>
  </si>
  <si>
    <t>Exit Strategies of the Rich and Famous</t>
  </si>
  <si>
    <t>Principles of Preserving Wealth</t>
  </si>
  <si>
    <t>A Brief History of Estate Taxes</t>
  </si>
  <si>
    <t>Estate Taxes and Overall Federal Revenues</t>
  </si>
  <si>
    <t>Exemption through the Years</t>
  </si>
  <si>
    <t>A Living Trust Primer</t>
  </si>
  <si>
    <t>What is a living trust?</t>
  </si>
  <si>
    <t>Why create a living trust?</t>
  </si>
  <si>
    <t>A Primer on Irrevocable Life Insurance Trusts</t>
  </si>
  <si>
    <t>What Is an ILIT?</t>
  </si>
  <si>
    <t>What Can an ILIT Accomplish?</t>
  </si>
  <si>
    <t>And the Executor Is</t>
  </si>
  <si>
    <t>What Will?</t>
  </si>
  <si>
    <t>Have A Question About This Topic?</t>
  </si>
  <si>
    <t>Charitable Giving: Smart from the Heart</t>
  </si>
  <si>
    <t>Related Content</t>
  </si>
  <si>
    <t>Choosing a Business Structure</t>
  </si>
  <si>
    <t>Sole Proprietorship/Partnership</t>
  </si>
  <si>
    <t>C-Corporation</t>
  </si>
  <si>
    <t>ABC</t>
  </si>
  <si>
    <t>Critical Estate Documents</t>
  </si>
  <si>
    <t>Health Care Documents</t>
  </si>
  <si>
    <t>Estate Building Block: Understanding the Alternate Valuation Date</t>
  </si>
  <si>
    <t>Understanding the Alternate Valuation Date</t>
  </si>
  <si>
    <t>Pick a Date</t>
  </si>
  <si>
    <t>Market Moves</t>
  </si>
  <si>
    <t>Estate Management 101</t>
  </si>
  <si>
    <t>Estate Management Checklist</t>
  </si>
  <si>
    <t>Four Reasons Millennials Need an Estate Strategy</t>
  </si>
  <si>
    <t>Estate Strategies: They're Not Just for the Elderly</t>
  </si>
  <si>
    <t>Four Steps to Valuing an Estate</t>
  </si>
  <si>
    <t>How to Assess the Value of an Estate</t>
  </si>
  <si>
    <t>4 Steps to Protecting a Child with Disabilities</t>
  </si>
  <si>
    <t>Envisioning a Life Without You</t>
  </si>
  <si>
    <t>Planning Your Estate</t>
  </si>
  <si>
    <t>Estate Planning Principles</t>
  </si>
  <si>
    <t>Launch Presentation »</t>
  </si>
  <si>
    <t>Problems with Probate</t>
  </si>
  <si>
    <t>What Is Probate?</t>
  </si>
  <si>
    <t>Probate Process</t>
  </si>
  <si>
    <t>Put It in a Letter</t>
  </si>
  <si>
    <t>Make a Cheat Sheet</t>
  </si>
  <si>
    <t>Identify Funeral Wishes</t>
  </si>
  <si>
    <t>Revising Estate Strategy Assumptions</t>
  </si>
  <si>
    <t>Changes in Gift Strategies</t>
  </si>
  <si>
    <t>Joint Ownership of Assets</t>
  </si>
  <si>
    <t>Safeguard Your Digital Estate</t>
  </si>
  <si>
    <t>Succeeding at Business Succession</t>
  </si>
  <si>
    <t>Test Your Estate Strategy Knowledge</t>
  </si>
  <si>
    <t>Tips for Finding Care for Your Disabled Child</t>
  </si>
  <si>
    <t>Family Limits</t>
  </si>
  <si>
    <t>Ask Questions</t>
  </si>
  <si>
    <t>Trends in Charitable Giving</t>
  </si>
  <si>
    <t>What Is My Life Expectancy?</t>
  </si>
  <si>
    <t>What is the Value of Your Business?</t>
  </si>
  <si>
    <t>Willing Seller &amp; Buyer</t>
  </si>
  <si>
    <t>What Is My Current Net Worth?</t>
  </si>
  <si>
    <t>What's My Potential Estate Tax?</t>
  </si>
  <si>
    <t>When Do You Need a Will?</t>
  </si>
  <si>
    <t>When Heirs are Imperfect</t>
  </si>
  <si>
    <t>Some Common Approaches</t>
  </si>
  <si>
    <t>Structuring Ideas</t>
  </si>
  <si>
    <t>When Special Care Is Needed: The Special Needs Trust</t>
  </si>
  <si>
    <t>Why Everyone Needs an Estate Strategy</t>
  </si>
  <si>
    <t>Will Power</t>
  </si>
  <si>
    <t>Yours, Mine and Ours: Estate Strategies for Second Marriages</t>
  </si>
  <si>
    <t>Yours, Mine, and Ours: Estate Strategies for Second Marriage</t>
  </si>
  <si>
    <t>Second Marriages</t>
  </si>
  <si>
    <t>The Other Sure Thing</t>
  </si>
  <si>
    <t>Protecting Those Who Matter Most</t>
  </si>
  <si>
    <t>A Brief Guide To Condo Insurance</t>
  </si>
  <si>
    <t>A Home Insurance Claim To File Or Not To File</t>
  </si>
  <si>
    <t>A Home Insurance Claim: To File Or Not To File</t>
  </si>
  <si>
    <t>An Overview of Renter’s Insurance</t>
  </si>
  <si>
    <t>Assess Life Insurance Needs</t>
  </si>
  <si>
    <t>Role of Life Insurance</t>
  </si>
  <si>
    <t>Rule of Thumb</t>
  </si>
  <si>
    <t>Assess Your Life Insurance Needs</t>
  </si>
  <si>
    <t>Breaking Down the Parts of Medicare</t>
  </si>
  <si>
    <t>In Original Medicare:</t>
  </si>
  <si>
    <t>Buying Auto Insurance For Teen Drivers</t>
  </si>
  <si>
    <t>Determine Whether to Add Your Child to Your Policy or Purchase a Separate Policy</t>
  </si>
  <si>
    <t>Consider Your Teen Driver’s Coverage Choices</t>
  </si>
  <si>
    <t>Can Group, Private Disability Policies Work Together?</t>
  </si>
  <si>
    <t>Taxation of Disability Benefits</t>
  </si>
  <si>
    <t>Choices, Choices, Choices</t>
  </si>
  <si>
    <t>Directors and Officers Liability Insurance</t>
  </si>
  <si>
    <t>Primary D&amp;O Risks</t>
  </si>
  <si>
    <t>Disability and Your Finances</t>
  </si>
  <si>
    <t>What About Workers Comp?</t>
  </si>
  <si>
    <t>Out of Commission</t>
  </si>
  <si>
    <t>Disability Income</t>
  </si>
  <si>
    <t>Does Your Credit Score Affect Your Insurance Rates?</t>
  </si>
  <si>
    <t>Several Factors</t>
  </si>
  <si>
    <t>Errors and Omissions Insurance</t>
  </si>
  <si>
    <t>Who Should Consider?</t>
  </si>
  <si>
    <t>Extended Care: A Patchwork of Possibilities</t>
  </si>
  <si>
    <t>Fallen Tree Damage—Who Pays?</t>
  </si>
  <si>
    <t>When Neighbors Sue</t>
  </si>
  <si>
    <t>Gun Ownership and Your Homeowners Policy</t>
  </si>
  <si>
    <t>Personal Property</t>
  </si>
  <si>
    <t>A Look at Whole Life Insurance</t>
  </si>
  <si>
    <t>How Insurance Deductibles Work</t>
  </si>
  <si>
    <t>Choosing the Right Deductible Amount</t>
  </si>
  <si>
    <t>What You Should Do About Insurance Following a Divorce</t>
  </si>
  <si>
    <t>Auto</t>
  </si>
  <si>
    <t>Home</t>
  </si>
  <si>
    <t>Insurance Needs Assessment: For Empty Nesters and Retirees</t>
  </si>
  <si>
    <t>Insurance Needs Assessment: When You're Married With Children</t>
  </si>
  <si>
    <t>Insurance Needs Assessment: Married With Children</t>
  </si>
  <si>
    <t>Insurance Needs Assessment: When You're Newly Married</t>
  </si>
  <si>
    <t>Insurance Needs Assessment: When You're Young and Single</t>
  </si>
  <si>
    <t>Insuring Your Business Against Cyber Liability</t>
  </si>
  <si>
    <t>Insuring Your Business With a Buy/Sell Agreement</t>
  </si>
  <si>
    <t>Types of Buy-Sell Agreements</t>
  </si>
  <si>
    <t>Funding a Buy-Sell Agreement</t>
  </si>
  <si>
    <t>Insuring Your Second Home</t>
  </si>
  <si>
    <t>The Unique Risks of a Second Home</t>
  </si>
  <si>
    <t>Inventorying Your Possessions</t>
  </si>
  <si>
    <t>Four Tips for Creating an Inventory</t>
  </si>
  <si>
    <t>Is Term Life Insurance for You?</t>
  </si>
  <si>
    <t>Keep Your Umbrella Handy</t>
  </si>
  <si>
    <t>Who's Got What?</t>
  </si>
  <si>
    <t>Keeping Summer Safe: Pool and Spa Safety Tips</t>
  </si>
  <si>
    <t>Seven Safety Tips to Save Lives</t>
  </si>
  <si>
    <t>Lifetime of Earnings</t>
  </si>
  <si>
    <t>Long-Term-Care Needs</t>
  </si>
  <si>
    <t>Making Sense Of A Home Warranty</t>
  </si>
  <si>
    <t>An Overview of Home Warranties</t>
  </si>
  <si>
    <t>Be Realistic</t>
  </si>
  <si>
    <t>Medicare Advantage 101</t>
  </si>
  <si>
    <t>What’s in them?</t>
  </si>
  <si>
    <t>What are the rules?</t>
  </si>
  <si>
    <t>Medicare Advantage Plans (Medicare Part C)</t>
  </si>
  <si>
    <t>Medicare At 65+</t>
  </si>
  <si>
    <t>Medicare vs. Medicaid</t>
  </si>
  <si>
    <t>Planning for the Expected</t>
  </si>
  <si>
    <t>Healthcare Costs</t>
  </si>
  <si>
    <t>Managing Your Wealth</t>
  </si>
  <si>
    <t>Prescription Drug Benefits Under Medicare (Part D)</t>
  </si>
  <si>
    <t>Protecting Your Business from the Loss of a Key Person</t>
  </si>
  <si>
    <t>Who’s Key?</t>
  </si>
  <si>
    <t>Calculating Costs</t>
  </si>
  <si>
    <t>Protecting Your Home Against Flood Loss</t>
  </si>
  <si>
    <t>Low vs. High Risk</t>
  </si>
  <si>
    <t>Coverage Choices</t>
  </si>
  <si>
    <t>Qualifying For Medicare Under Age 65</t>
  </si>
  <si>
    <t>Eligibility for Medicare due to a disability</t>
  </si>
  <si>
    <t>Eligibility for ESRD Medicare</t>
  </si>
  <si>
    <t>Questions to Ask About Medicare</t>
  </si>
  <si>
    <t>Replacing Your Medicare Card</t>
  </si>
  <si>
    <t>Retiree Health Care Coverage Overseas</t>
  </si>
  <si>
    <t>Medicare Coverage Outside the U.S. is Limited</t>
  </si>
  <si>
    <t>Medigap Coverage May Travel with You</t>
  </si>
  <si>
    <t>Silver Sneakers 101</t>
  </si>
  <si>
    <t>Social Media: #Newest Business Liability Risk</t>
  </si>
  <si>
    <t>Social Media: #NewestBusinessLiabilityRisk</t>
  </si>
  <si>
    <t>Liability Risks of Social Media</t>
  </si>
  <si>
    <t>Stay Safe with a B.O.P. At Your Back</t>
  </si>
  <si>
    <t>Term vs. Permanent Life Insurance</t>
  </si>
  <si>
    <t>Term and Perm</t>
  </si>
  <si>
    <t>Which Should You Choose?</t>
  </si>
  <si>
    <t>Test Your Life Insurance Knowledge</t>
  </si>
  <si>
    <t>The A, B, C, &amp; D of Medicare</t>
  </si>
  <si>
    <t>Breaking down the basics.</t>
  </si>
  <si>
    <t>The ABC’s of Auto Insurance</t>
  </si>
  <si>
    <t>Types of Coverage</t>
  </si>
  <si>
    <t>The Basics of Medicare</t>
  </si>
  <si>
    <t>The Cost of Medical Care</t>
  </si>
  <si>
    <t>The Most Overlooked Item of Any Home Improvement</t>
  </si>
  <si>
    <t>Why Proper Insurance Matters</t>
  </si>
  <si>
    <t>The Value of Insuring Against Life’s Risks</t>
  </si>
  <si>
    <t>Understanding Homeowner’s Insurance</t>
  </si>
  <si>
    <t>What’s Covered</t>
  </si>
  <si>
    <t>Types of Homeowner’s Policies</t>
  </si>
  <si>
    <t>Understanding Long-Term Care</t>
  </si>
  <si>
    <t>What Is Long-Term Care?</t>
  </si>
  <si>
    <t>How Much Does Long-Term Care Cost?</t>
  </si>
  <si>
    <t>Understanding the Basics of Medigap Policies</t>
  </si>
  <si>
    <t>From A to N</t>
  </si>
  <si>
    <t>An Early Start at 65</t>
  </si>
  <si>
    <t>Universal Life Insurance</t>
  </si>
  <si>
    <t>Variable Universal Life Insurance</t>
  </si>
  <si>
    <t>Ways to Supplement Your Medicare Coverage</t>
  </si>
  <si>
    <t>What to Look for in a Long-Term Care Policy</t>
  </si>
  <si>
    <t>Touch of Grey</t>
  </si>
  <si>
    <t>When Does Your Personal Car Become a Commercial Vehicle?</t>
  </si>
  <si>
    <t>Defining Business-Related Purpose</t>
  </si>
  <si>
    <t>When Life Insurance Becomes Taxable</t>
  </si>
  <si>
    <t>Tracking Taxes</t>
  </si>
  <si>
    <t>Avoiding the Taxable Risk</t>
  </si>
  <si>
    <t>When to Self-Insure</t>
  </si>
  <si>
    <t>Your DNA Test</t>
  </si>
  <si>
    <t>Investment</t>
  </si>
  <si>
    <t>From Boats to Brokers</t>
  </si>
  <si>
    <t>5 Smart Investing Strategies</t>
  </si>
  <si>
    <t>16 Wall Street Cliches in 60 Seconds</t>
  </si>
  <si>
    <t>Investment Principles</t>
  </si>
  <si>
    <t>5 Smart Investing Principles</t>
  </si>
  <si>
    <t>A Decision Not Made Is Still a Decision</t>
  </si>
  <si>
    <t>Your 401(k) Plan</t>
  </si>
  <si>
    <t>Non-Retirement Plan Investments</t>
  </si>
  <si>
    <t>A Look at Diversification</t>
  </si>
  <si>
    <t>A Diversified Approach</t>
  </si>
  <si>
    <t>Mutual Funds and ETFs</t>
  </si>
  <si>
    <t>A Primer on Dividends</t>
  </si>
  <si>
    <t>Dividend Ratios</t>
  </si>
  <si>
    <t>Other Dividend Considerations</t>
  </si>
  <si>
    <t>A Taxing Story: Capital Gains and Losses</t>
  </si>
  <si>
    <t>Long-Term vs. Short-Term Gains</t>
  </si>
  <si>
    <t>Rules for Capital Losses</t>
  </si>
  <si>
    <t>All Muni Bonds Are Not Created Equal</t>
  </si>
  <si>
    <t>Types of Risk</t>
  </si>
  <si>
    <t>Managing Risk</t>
  </si>
  <si>
    <t>Alternative Investments - Going Mainstream</t>
  </si>
  <si>
    <t>Types of Alternative Investments</t>
  </si>
  <si>
    <t>Are Alternative Investments Right for You?</t>
  </si>
  <si>
    <t>Asset Allocation</t>
  </si>
  <si>
    <t>Determining the Most Appropriate Mix</t>
  </si>
  <si>
    <t>Best-Performing Asset Classes</t>
  </si>
  <si>
    <t>Changing Lead</t>
  </si>
  <si>
    <t>Bridging the Confidence Gap</t>
  </si>
  <si>
    <t>Bursting the Bubble</t>
  </si>
  <si>
    <t>The Business Cycle</t>
  </si>
  <si>
    <t>Recovery &amp; Recession</t>
  </si>
  <si>
    <t>Moving in Waves</t>
  </si>
  <si>
    <t>Can Election Results Predict the Market?</t>
  </si>
  <si>
    <t>Contributing to an IRA?</t>
  </si>
  <si>
    <t>Don’t Be Your Own Worst Enemy</t>
  </si>
  <si>
    <t>Earnings for All Seasons</t>
  </si>
  <si>
    <t>Reported Earnings</t>
  </si>
  <si>
    <t>An Inside Look</t>
  </si>
  <si>
    <t>Emerging Market Opportunities</t>
  </si>
  <si>
    <t>Estimating the Cost of College</t>
  </si>
  <si>
    <t>Events on Wall Street</t>
  </si>
  <si>
    <t>Four Really Good Reasons to Invest</t>
  </si>
  <si>
    <t>Why Invest?</t>
  </si>
  <si>
    <t>A Framework for Investing</t>
  </si>
  <si>
    <t>From Boats to Brokers: A History of the Stock Market</t>
  </si>
  <si>
    <t>Getting a Head Start on College Savings</t>
  </si>
  <si>
    <t>global-and-international-funds</t>
  </si>
  <si>
    <t>Global and International Funds</t>
  </si>
  <si>
    <t>Global vs. International: What’s The Difference?</t>
  </si>
  <si>
    <t>Make a Choice</t>
  </si>
  <si>
    <t>How Compound Interest Works</t>
  </si>
  <si>
    <t>Transaction Fees</t>
  </si>
  <si>
    <t>Ongoing Fees</t>
  </si>
  <si>
    <t>How Stocks Work</t>
  </si>
  <si>
    <t>How the Federal Reserve Works</t>
  </si>
  <si>
    <t>Economy Watch</t>
  </si>
  <si>
    <t>Supervise and Regulate</t>
  </si>
  <si>
    <t>How to Invest in LGBTQ+ Friendly Companies</t>
  </si>
  <si>
    <t>Investing in Your Convictions</t>
  </si>
  <si>
    <t>Finding LGBTQ+ Allies</t>
  </si>
  <si>
    <t>Impact of Taxes and Inflation</t>
  </si>
  <si>
    <t>Inflation &amp; Your Money</t>
  </si>
  <si>
    <t>What Is Inflation?</t>
  </si>
  <si>
    <t>How Applicable Is the CPI?</t>
  </si>
  <si>
    <t>Inflation and Your Portfolio</t>
  </si>
  <si>
    <t>Investing for Impact</t>
  </si>
  <si>
    <t>Investing with Your Heart</t>
  </si>
  <si>
    <t>What Is “Socially Responsible Investing?”</t>
  </si>
  <si>
    <t>What’s ESG?</t>
  </si>
  <si>
    <t>Investment Challenges of the Affluent Investor</t>
  </si>
  <si>
    <t>The Investment Risk No One’s Ever Heard Of</t>
  </si>
  <si>
    <t>Sequence of Returns</t>
  </si>
  <si>
    <t>Timing, Timing, Timing</t>
  </si>
  <si>
    <t>Investments</t>
  </si>
  <si>
    <t>It Was the Best of Times, It Was the Worst of Times</t>
  </si>
  <si>
    <t>Jane Bond: Decoding Diversification</t>
  </si>
  <si>
    <t>Jane Bond: Infiltrating the Market</t>
  </si>
  <si>
    <t>Jane Bond: Scaling the Ladder</t>
  </si>
  <si>
    <t>Mutual Funds vs. ETFs</t>
  </si>
  <si>
    <t>Structural Differences</t>
  </si>
  <si>
    <t>Tax Differences</t>
  </si>
  <si>
    <t>Pullbacks, Corrections, and Bear Markets</t>
  </si>
  <si>
    <t>Pullbacks.</t>
  </si>
  <si>
    <t>Corrections.</t>
  </si>
  <si>
    <t>Rebalancing Your Portfolio</t>
  </si>
  <si>
    <t>How Rebalancing Works</t>
  </si>
  <si>
    <t>Shifting Allocation</t>
  </si>
  <si>
    <t>Saving for College</t>
  </si>
  <si>
    <t>Should You Invest in Exchange Traded Funds?</t>
  </si>
  <si>
    <t>Taxable vs. Tax-Deferred Savings</t>
  </si>
  <si>
    <t>The ABCs of Zero Coupon Bonds</t>
  </si>
  <si>
    <t>Target Dates</t>
  </si>
  <si>
    <t>The Anatomy of an Index</t>
  </si>
  <si>
    <t>Cap &amp; Criteria</t>
  </si>
  <si>
    <t>Changes Over Time</t>
  </si>
  <si>
    <t>The Cycle of Investing</t>
  </si>
  <si>
    <t>Required Reading: The Economic Report of the President</t>
  </si>
  <si>
    <t>The Fed and How It Got That Way</t>
  </si>
  <si>
    <t>The Great Debate Continues: Active vs. Passive</t>
  </si>
  <si>
    <t>Passive Pointers</t>
  </si>
  <si>
    <t>Active Arguments</t>
  </si>
  <si>
    <t>The Ivory Tower Changes Wall Street</t>
  </si>
  <si>
    <t>Eugene Fama</t>
  </si>
  <si>
    <t>Robert Shiller</t>
  </si>
  <si>
    <t>The Junk Drawer Approach to Investing</t>
  </si>
  <si>
    <t>The Real Cost of a Vacation Home</t>
  </si>
  <si>
    <t>4 Reasons for the Return of Market Volatility</t>
  </si>
  <si>
    <t>1. Inflation Fears</t>
  </si>
  <si>
    <t>2. Algorithmic Trading</t>
  </si>
  <si>
    <t>The Rule of 72</t>
  </si>
  <si>
    <t>The Utility of Sector Investing</t>
  </si>
  <si>
    <t>Sector Investing Strategies</t>
  </si>
  <si>
    <t>TIPS for Inflation</t>
  </si>
  <si>
    <t>A Few TIPS</t>
  </si>
  <si>
    <t>Inflation in Perspective</t>
  </si>
  <si>
    <t>Types of Stock Market Analysis</t>
  </si>
  <si>
    <t>Fundamental Analysis</t>
  </si>
  <si>
    <t>Technical Analysis</t>
  </si>
  <si>
    <t>Value vs. Growth Investing</t>
  </si>
  <si>
    <t>Investing for Value</t>
  </si>
  <si>
    <t>Investing for Growth</t>
  </si>
  <si>
    <t>What Can a $1 Million Buy You</t>
  </si>
  <si>
    <t>What Can a Million Dollars Buy You?</t>
  </si>
  <si>
    <t>What Is My Risk Tolerance?</t>
  </si>
  <si>
    <t>What Is the Dividend Yield?</t>
  </si>
  <si>
    <t>What Smart Investors Know</t>
  </si>
  <si>
    <t>What’s Your Investment IQ?</t>
  </si>
  <si>
    <t>When Markets React</t>
  </si>
  <si>
    <t>Where Is the Market Headed?</t>
  </si>
  <si>
    <t>You Would Rather Be...</t>
  </si>
  <si>
    <t>Lifestyle</t>
  </si>
  <si>
    <t>An Arm and a Leg</t>
  </si>
  <si>
    <t>Managing Your Lifestyle</t>
  </si>
  <si>
    <t>A Cheat Sheet for Sending Your Kid to College</t>
  </si>
  <si>
    <t>A House Divided</t>
  </si>
  <si>
    <t>A New Way to Look at Your Bucket List</t>
  </si>
  <si>
    <t>Acres of Diamonds</t>
  </si>
  <si>
    <t>Avoiding Cognitive Decline</t>
  </si>
  <si>
    <t>Strategies to Help Manage Cognitive Decline</t>
  </si>
  <si>
    <t>Best Vacations: By Car, By Ship, By Foot, Once in a Lifetime</t>
  </si>
  <si>
    <t>By Car</t>
  </si>
  <si>
    <t>By Ship</t>
  </si>
  <si>
    <t>Bi-Weekly Payments</t>
  </si>
  <si>
    <t>Building Your Legacy</t>
  </si>
  <si>
    <t>Your Framework</t>
  </si>
  <si>
    <t>Can I Refinance My Mortgage?</t>
  </si>
  <si>
    <t>Changing Unhealthy Behaviors</t>
  </si>
  <si>
    <t>Permanent Change is Evolutionary, not Revolutionary</t>
  </si>
  <si>
    <t>Choosing a Mortgage</t>
  </si>
  <si>
    <t>Coaches</t>
  </si>
  <si>
    <t>Comparing Mortgage Terms</t>
  </si>
  <si>
    <t>Consider These 3 Things Before Driving Off the Lot</t>
  </si>
  <si>
    <t>Countdown to College</t>
  </si>
  <si>
    <t>Freshman Year</t>
  </si>
  <si>
    <t>Sophomore Year</t>
  </si>
  <si>
    <t>Creative Ways to Motivate Your Employees</t>
  </si>
  <si>
    <t>Weekly “Good News” Emails</t>
  </si>
  <si>
    <t>Encourage Mental Breaks</t>
  </si>
  <si>
    <t>Crowdfunding—Capital for the 21st Century</t>
  </si>
  <si>
    <t>Crowdfunding Roots</t>
  </si>
  <si>
    <t>Crowdfunding Grows Up</t>
  </si>
  <si>
    <t>Debt Stress</t>
  </si>
  <si>
    <t>The Link Between Stress and Health</t>
  </si>
  <si>
    <t>Managing Stress and Debt</t>
  </si>
  <si>
    <t>Do Your Kids Know The Value of a Silver Spoon?</t>
  </si>
  <si>
    <t>Standardized testing matters</t>
  </si>
  <si>
    <t>A Fresh FAFSA</t>
  </si>
  <si>
    <t>Forecast</t>
  </si>
  <si>
    <t>Four Great, Unexpected Places to Raise a Family</t>
  </si>
  <si>
    <t>1. Newton, MA:</t>
  </si>
  <si>
    <t>2. Middletown, NY:</t>
  </si>
  <si>
    <t>Good Health is Good Business</t>
  </si>
  <si>
    <t>The Profile of a Successful Wellness Program</t>
  </si>
  <si>
    <t>Common Wellness Program Offerings</t>
  </si>
  <si>
    <t>Healthy Body, Healthy Pocketbook</t>
  </si>
  <si>
    <t>How Much Home Can I Afford?</t>
  </si>
  <si>
    <t>Interested in a Fuel Efficient Car?</t>
  </si>
  <si>
    <t>Keeping Good Records is Good Business</t>
  </si>
  <si>
    <t>What Records Do You Need to Keep?</t>
  </si>
  <si>
    <t>How Do You Want to Keep Them?</t>
  </si>
  <si>
    <t>Let's Chat</t>
  </si>
  <si>
    <t>Lots of Variables with Fixed-Rate Mortgages</t>
  </si>
  <si>
    <t>Mastering Mobile Lingo</t>
  </si>
  <si>
    <t>Money Draining Food Myths</t>
  </si>
  <si>
    <t>Vitamins and Supplements</t>
  </si>
  <si>
    <t>Gluten Free</t>
  </si>
  <si>
    <t>Personal Finance Tips for Military Families</t>
  </si>
  <si>
    <t>Money Tips to Consider</t>
  </si>
  <si>
    <t>Please Leave Home Without It</t>
  </si>
  <si>
    <t>Ten Things to Leave at Home</t>
  </si>
  <si>
    <t>Putting a Price Tag On Your Health</t>
  </si>
  <si>
    <t>Raising Healthy Children</t>
  </si>
  <si>
    <t>Retiring Wild: National Parks and You</t>
  </si>
  <si>
    <t>The Cortisol Connection</t>
  </si>
  <si>
    <t>A Thrifty Option</t>
  </si>
  <si>
    <t>Saving on Subscription Service Costs</t>
  </si>
  <si>
    <t>Ways to Save on Your Subscription Services</t>
  </si>
  <si>
    <t>Should I Buy or Lease an Auto?</t>
  </si>
  <si>
    <t>Should I Pay Off Debt or Invest?</t>
  </si>
  <si>
    <t>Fixed or Variable Mortgage, Which Should You Pick?</t>
  </si>
  <si>
    <t>Average Interest Rate: 30-Year, Fixed-Rate Mortgages</t>
  </si>
  <si>
    <t>Stop Wasting Money</t>
  </si>
  <si>
    <t>Top Money Wasters</t>
  </si>
  <si>
    <t>Suddenly Single: 3 Steps to Take Now</t>
  </si>
  <si>
    <t>Surprises</t>
  </si>
  <si>
    <t>The Richest Man in Babylon</t>
  </si>
  <si>
    <t>Prevent a Rift: Money Tips for Newlyweds</t>
  </si>
  <si>
    <t>10 Tips for Newly Married Couples</t>
  </si>
  <si>
    <t>To Buy or Not to Buy</t>
  </si>
  <si>
    <t>To Catch a Thief</t>
  </si>
  <si>
    <t>The Age of Risk</t>
  </si>
  <si>
    <t>Top New Digital Tools for Small Businesses</t>
  </si>
  <si>
    <t>New Digital Tools that Can…</t>
  </si>
  <si>
    <t>Travel, Without the Baggage</t>
  </si>
  <si>
    <t>How to Pack Lightly</t>
  </si>
  <si>
    <t>What to Do When You Lose Your Wallet</t>
  </si>
  <si>
    <t>Money</t>
  </si>
  <si>
    <t>Surprise! You’ve Got Money!</t>
  </si>
  <si>
    <t>Your Cash Flow Statement</t>
  </si>
  <si>
    <t>A Penny Saved is Two Pennies Earned</t>
  </si>
  <si>
    <t>Audit First..</t>
  </si>
  <si>
    <t>..Then Act</t>
  </si>
  <si>
    <t>Budget Check Up: Tax Time Is the Right Time</t>
  </si>
  <si>
    <t>Six-Step Process</t>
  </si>
  <si>
    <t>Budgeting After a Divorce</t>
  </si>
  <si>
    <t>Buying vs. Leasing a Car</t>
  </si>
  <si>
    <t>Countering Counterfeit Currency</t>
  </si>
  <si>
    <t>Money Matters</t>
  </si>
  <si>
    <t>Doubling Your Money</t>
  </si>
  <si>
    <t>Historical Inflation</t>
  </si>
  <si>
    <t>How Big is Money?</t>
  </si>
  <si>
    <t>How BIG is Currency?</t>
  </si>
  <si>
    <t>So, how big is a dollar?</t>
  </si>
  <si>
    <t>Stacked together, the 39.8 billion notes currently in circulation would take up 1.8 million cubic feet of space.5, 6</t>
  </si>
  <si>
    <t>How Does Your Credit Score Compare?</t>
  </si>
  <si>
    <t>Generation Gap</t>
  </si>
  <si>
    <t>keeping-up-with-the-joneses</t>
  </si>
  <si>
    <t>Keeping Up with the Joneses</t>
  </si>
  <si>
    <t>Life and Death of a $20 Bill</t>
  </si>
  <si>
    <t>Life and Death of a Twenty Dollar Bill</t>
  </si>
  <si>
    <t>Paper</t>
  </si>
  <si>
    <t>Printing</t>
  </si>
  <si>
    <t>Mortgages in Retirement</t>
  </si>
  <si>
    <t>Maintaining a Mortgage in Retirement</t>
  </si>
  <si>
    <t>Eradicate (Other) Debt</t>
  </si>
  <si>
    <t>Once Upon a Goal</t>
  </si>
  <si>
    <t>Password Protection Strategies</t>
  </si>
  <si>
    <t>Favor Length Over Complexity</t>
  </si>
  <si>
    <t>No Plain English</t>
  </si>
  <si>
    <t>The Genius of Pay Yourself First</t>
  </si>
  <si>
    <t>Putting Your Money to Work</t>
  </si>
  <si>
    <t>Paying Off a Credit Card</t>
  </si>
  <si>
    <t>Saving for College 101</t>
  </si>
  <si>
    <t>Spotting Credit Trouble</t>
  </si>
  <si>
    <t>Strategies For Managing Student Loan Debt</t>
  </si>
  <si>
    <t>The Average American Budget</t>
  </si>
  <si>
    <t>The Cost of Procrastination</t>
  </si>
  <si>
    <t>The Economic Journey of Your Morning Coffee</t>
  </si>
  <si>
    <t>Credit and debt</t>
  </si>
  <si>
    <t>Understanding the ways credit and debt work for and against you are some of the first steps toward understanding personal finance. While it’s not useful to be scared of credit and debt and avoid it entirely, there are some things to look out for.</t>
  </si>
  <si>
    <t>Interest can work against you, but it can work for you, too. When you take out a loan with an interest rate, it’s working against you, but when you invest early and take advantage of compound interest, it’s working for you.</t>
  </si>
  <si>
    <t>The Half Million Dollar Baby</t>
  </si>
  <si>
    <t>The Latte Lie and Other Myths</t>
  </si>
  <si>
    <t>The Lowdown on Those Free Credit Scores</t>
  </si>
  <si>
    <t>The Dirty Little Secret of Credit Scores</t>
  </si>
  <si>
    <t>The Power of Compound Interest</t>
  </si>
  <si>
    <t>U.S. Personal Savings Rate</t>
  </si>
  <si>
    <t>Why Economists Struggle</t>
  </si>
  <si>
    <t>Gaining Insight</t>
  </si>
  <si>
    <t>Weighing the Benefits of Prepaid Debit Cards</t>
  </si>
  <si>
    <t>What Is My Current Cash Flow?</t>
  </si>
  <si>
    <t>What Our Kids Can Teach us About Saving Money</t>
  </si>
  <si>
    <t>What to Look for in Personal Finance Apps</t>
  </si>
  <si>
    <t>Category</t>
  </si>
  <si>
    <t>Criteria</t>
  </si>
  <si>
    <t>Year-End Charitable Gifting and You</t>
  </si>
  <si>
    <t>Evaluate the Impact</t>
  </si>
  <si>
    <t>Itemize to Optimize</t>
  </si>
  <si>
    <t>Money Management</t>
  </si>
  <si>
    <t>Your Emergency Fund: How Much Is Enough?</t>
  </si>
  <si>
    <t>How Much Money?</t>
  </si>
  <si>
    <t>Coming Up with Cash</t>
  </si>
  <si>
    <t>All Presentations</t>
  </si>
  <si>
    <t>RE: Retirement</t>
  </si>
  <si>
    <t>An Inside Look at Retirement Living</t>
  </si>
  <si>
    <t>18 Years’ Worth of Days</t>
  </si>
  <si>
    <t>Choices for Your 401(k) at a Former Employer</t>
  </si>
  <si>
    <t>Choice 1: Leave It with Your Previous Employer</t>
  </si>
  <si>
    <t>Choice 2: Transfer to Your New Employer’s 401(k) Plan</t>
  </si>
  <si>
    <t>9 Facts About Retirement</t>
  </si>
  <si>
    <t>Conclusion</t>
  </si>
  <si>
    <t>9 Facts About Social Security</t>
  </si>
  <si>
    <t>A Bucket Plan to Go with Your Bucket List</t>
  </si>
  <si>
    <t>A Fruitful Retirement: Social Security Benefit</t>
  </si>
  <si>
    <t>A Look at Systematic Withdrawals</t>
  </si>
  <si>
    <t>Annuity Comparison</t>
  </si>
  <si>
    <t>Caring for Aging Parents</t>
  </si>
  <si>
    <t>Cover the Basics</t>
  </si>
  <si>
    <t>Be Thorough</t>
  </si>
  <si>
    <t>Catch-Up Contributions</t>
  </si>
  <si>
    <t>How It Works</t>
  </si>
  <si>
    <t>Catch-Up Contributions and the Bottom Line</t>
  </si>
  <si>
    <t>Certain Uncertainties in Retirement</t>
  </si>
  <si>
    <t>An Uncertain Tax Structure</t>
  </si>
  <si>
    <t>Market Uncertainty</t>
  </si>
  <si>
    <t>Choosing a Retirement Plan that Fits Your Business</t>
  </si>
  <si>
    <t>How much can my business afford to contribute?</t>
  </si>
  <si>
    <t>What plan accommodates high employee turnover?</t>
  </si>
  <si>
    <t>When Should You Take Social Security</t>
  </si>
  <si>
    <t>Does Your Portfolio Fit Your Retirement Lifestyle?</t>
  </si>
  <si>
    <t>Starting a Business?</t>
  </si>
  <si>
    <t>Traveling for Extended Periods of Time?</t>
  </si>
  <si>
    <t>Dreaming Up an Active Retirement</t>
  </si>
  <si>
    <t>Eight Mistakes That Can Upend Your Retirement</t>
  </si>
  <si>
    <t>Encore Careers: Push Your Boundaries</t>
  </si>
  <si>
    <t>Healthcare Costs in Retirement</t>
  </si>
  <si>
    <t>Health-Care Breakdown</t>
  </si>
  <si>
    <t>It All Adds Up</t>
  </si>
  <si>
    <t>How Retirement Spending Changes With Time</t>
  </si>
  <si>
    <t>By The Numbers</t>
  </si>
  <si>
    <t>Spending Pattern</t>
  </si>
  <si>
    <t>how-to-retire-early</t>
  </si>
  <si>
    <t>How to Retire Early</t>
  </si>
  <si>
    <t>How Will Working Affect Social Security Benefits?</t>
  </si>
  <si>
    <t>Full Retirement Age</t>
  </si>
  <si>
    <t>Earnings Test</t>
  </si>
  <si>
    <t>Immediate vs. Deferred Annuities</t>
  </si>
  <si>
    <t>Two Phases</t>
  </si>
  <si>
    <t>Immediate Annuity</t>
  </si>
  <si>
    <t>Important Birthdays Over 50</t>
  </si>
  <si>
    <t>Inflation &amp; Retirement</t>
  </si>
  <si>
    <t>Inflation - Back to the Future</t>
  </si>
  <si>
    <t>Investment Strategies for Retirement</t>
  </si>
  <si>
    <t>IRA Withdrawals that Escape the 10% Tax Penalty</t>
  </si>
  <si>
    <t>Penalty-Free Withdrawals</t>
  </si>
  <si>
    <t>Is a SEP-IRA Right for Your Business?</t>
  </si>
  <si>
    <t>Employees Vested</t>
  </si>
  <si>
    <t>A Menu of Choices</t>
  </si>
  <si>
    <t>Is a Variable Annuity Right for Me?</t>
  </si>
  <si>
    <t>Lesser Known Provisions of the SECURE Act</t>
  </si>
  <si>
    <t>For College Students</t>
  </si>
  <si>
    <t>Funds For A Growing Family</t>
  </si>
  <si>
    <t>Social Security: Maximizing Your Social Security Benefits</t>
  </si>
  <si>
    <t>Social Security: Maximizing Benefits</t>
  </si>
  <si>
    <t> </t>
  </si>
  <si>
    <t>Benefit Maximization Strategies for Widows and Widowers</t>
  </si>
  <si>
    <t>Money that Buys Good Health is Never Ill Spent</t>
  </si>
  <si>
    <t>My Retirement Savings</t>
  </si>
  <si>
    <t>Orchestrating Your Retirement Accounts</t>
  </si>
  <si>
    <t>Hierarchy of Savings</t>
  </si>
  <si>
    <t>Withdrawal Strategy</t>
  </si>
  <si>
    <t>Perception vs. Reality</t>
  </si>
  <si>
    <t>Potential Income from an IRA</t>
  </si>
  <si>
    <t>Retirement Income and the Traditional Portfolio</t>
  </si>
  <si>
    <t>Liquid Assets</t>
  </si>
  <si>
    <t>Annuities</t>
  </si>
  <si>
    <t>Retirement Realities</t>
  </si>
  <si>
    <t>Expectations vs. Reality</t>
  </si>
  <si>
    <t>Do retirees actually “outlive” their money?</t>
  </si>
  <si>
    <t>Retirement Redefined</t>
  </si>
  <si>
    <t>Retirement Traps to Avoid</t>
  </si>
  <si>
    <t>Retiring in a Post-Pandemic World</t>
  </si>
  <si>
    <t>Retiring the 4% Rule</t>
  </si>
  <si>
    <t>Rightsizing for Retirement</t>
  </si>
  <si>
    <t>Risk Tolerance: What’s Your Style?</t>
  </si>
  <si>
    <t>Roth 401(k) vs. Traditional 401(k)</t>
  </si>
  <si>
    <t>Saving for Retirement</t>
  </si>
  <si>
    <t>Self-Employed Retirement Plans</t>
  </si>
  <si>
    <t>Should You Borrow from Your 401(k)?</t>
  </si>
  <si>
    <t>Borrowing from Your 401(k)</t>
  </si>
  <si>
    <t>Disadvantages of 401(k) Loans</t>
  </si>
  <si>
    <t>Should You Ever Retire?</t>
  </si>
  <si>
    <t>Should You Tap Retirement Savings to Fund College?</t>
  </si>
  <si>
    <t>Social Security: Five Facts You Need to Know</t>
  </si>
  <si>
    <t>1. Social Security Is a Critical Source of Retirement Income</t>
  </si>
  <si>
    <t>2. You Can Choose When You Take Social Security</t>
  </si>
  <si>
    <t>Social Security: By the Numbers</t>
  </si>
  <si>
    <t>Social Security Benefits: How Much Will I Receive</t>
  </si>
  <si>
    <t>Social Security: The $64,000 Question</t>
  </si>
  <si>
    <t>Social Security: The Elephant in the Room</t>
  </si>
  <si>
    <t>Questions &amp; Elephants</t>
  </si>
  <si>
    <t>Reasonable Concern</t>
  </si>
  <si>
    <t>Social Security: Two Benefit Strategies Eliminated</t>
  </si>
  <si>
    <t>An Overview</t>
  </si>
  <si>
    <t>Restricted Application</t>
  </si>
  <si>
    <t>Split Annuity Strategy</t>
  </si>
  <si>
    <t>The Split</t>
  </si>
  <si>
    <t>Diane Divides</t>
  </si>
  <si>
    <t>Systematic Withdrawals in Retirement - Clear and Wrong?</t>
  </si>
  <si>
    <t>Systematic Withdrawals in Retirement</t>
  </si>
  <si>
    <t>Early Bird</t>
  </si>
  <si>
    <t>The Long Run: Women and Retirement</t>
  </si>
  <si>
    <t>The Power of Tax-Deferred Growth</t>
  </si>
  <si>
    <t>The Pre-Retirement Checklist</t>
  </si>
  <si>
    <t>The</t>
  </si>
  <si>
    <t>HOW PREPARED ARE YOU?</t>
  </si>
  <si>
    <t>NOT QUITE READY?</t>
  </si>
  <si>
    <t>The SECURE Act</t>
  </si>
  <si>
    <t>Thinking of Retiring Abroad?</t>
  </si>
  <si>
    <t>Things to consider</t>
  </si>
  <si>
    <t>Three Key Questions to Answer Before Taking Social Security</t>
  </si>
  <si>
    <t>Traditional vs. Roth IRA</t>
  </si>
  <si>
    <t>Features of Traditional and Roth IRAs</t>
  </si>
  <si>
    <t>Understanding the SECURE Act</t>
  </si>
  <si>
    <t>Volunteering in Retirement</t>
  </si>
  <si>
    <t>Before You Start</t>
  </si>
  <si>
    <t>Survey the Waters</t>
  </si>
  <si>
    <t>What Is a Roth 401(k)?</t>
  </si>
  <si>
    <t>What to Choose?</t>
  </si>
  <si>
    <t>Considerations</t>
  </si>
  <si>
    <t>What Is an Annuity?</t>
  </si>
  <si>
    <t>Case Study: Robert’s Fixed Annuity</t>
  </si>
  <si>
    <t>What's New for Social Security?</t>
  </si>
  <si>
    <t>Ready for a Cost-of-Living (COLA) increase?</t>
  </si>
  <si>
    <t>What about Tax Caps?</t>
  </si>
  <si>
    <t>Where Will Your Retirement Money Come From?</t>
  </si>
  <si>
    <t>Social Security</t>
  </si>
  <si>
    <t>Personal Savings and Investments</t>
  </si>
  <si>
    <t>Why Medicare Should Be Part of Your Retirement Strategy</t>
  </si>
  <si>
    <t>Women and College</t>
  </si>
  <si>
    <t>Insider language</t>
  </si>
  <si>
    <t>Women on the Rise</t>
  </si>
  <si>
    <t>Your Changing Definition of Risk in Retirement</t>
  </si>
  <si>
    <t>Still Believe</t>
  </si>
  <si>
    <t>Shift the Risk</t>
  </si>
  <si>
    <t>Tax</t>
  </si>
  <si>
    <t>The Facts About Income Tax</t>
  </si>
  <si>
    <t>Capital Gains Tax Estimator</t>
  </si>
  <si>
    <t>Comparing Investments</t>
  </si>
  <si>
    <t>Filing Final Tax Returns for the Deceased</t>
  </si>
  <si>
    <t>Income Taxes</t>
  </si>
  <si>
    <t>Estate Taxes</t>
  </si>
  <si>
    <t>“Dirty Dozen” Tax Scams to Watch For</t>
  </si>
  <si>
    <t>The “Dirty Dozen”</t>
  </si>
  <si>
    <t>Do You Owe The AMT?</t>
  </si>
  <si>
    <t>What Is The AMT, Exactly?</t>
  </si>
  <si>
    <t>The AMT Language</t>
  </si>
  <si>
    <t>Does Your Child Need to File an Income Tax Return?</t>
  </si>
  <si>
    <t>Donating Art: Taxation Abstraction</t>
  </si>
  <si>
    <t>Where It Becomes Complicated</t>
  </si>
  <si>
    <t>Look Before You Leap</t>
  </si>
  <si>
    <t>Federal Income Tax</t>
  </si>
  <si>
    <t>Five Most Overlooked Tax Deductions</t>
  </si>
  <si>
    <t>Get Paid for Going Green</t>
  </si>
  <si>
    <t>The Energy Property Tax Credit</t>
  </si>
  <si>
    <t>Alternative Energy Improvements</t>
  </si>
  <si>
    <t>Home Mortgage Deduction</t>
  </si>
  <si>
    <t>How Income Taxes Work</t>
  </si>
  <si>
    <t>Getting Started</t>
  </si>
  <si>
    <t>How to Appeal Your Property Taxes</t>
  </si>
  <si>
    <t>Determine Whether an Appeal Is Justified</t>
  </si>
  <si>
    <t>Consider the Cost-Benefit Ratio</t>
  </si>
  <si>
    <t>How to Make the Tax Code Work for You</t>
  </si>
  <si>
    <t>Credits</t>
  </si>
  <si>
    <t>Deductions</t>
  </si>
  <si>
    <t>Red Flags for Tax Auditors</t>
  </si>
  <si>
    <t>The Chance of an Audit Rises with Income</t>
  </si>
  <si>
    <t>Deviations from the Mean</t>
  </si>
  <si>
    <t>Social Security Taxes</t>
  </si>
  <si>
    <t>Tax Deductions You Won't Believe</t>
  </si>
  <si>
    <t>Creative Deductions that Passed Muster</t>
  </si>
  <si>
    <t>Deductions that Were Too Creative</t>
  </si>
  <si>
    <t>Tax Freedom Day</t>
  </si>
  <si>
    <t>Tax Reform: Before and After</t>
  </si>
  <si>
    <t>Tax Rules When Selling Your Home</t>
  </si>
  <si>
    <t>Home Sale</t>
  </si>
  <si>
    <t>There Are Exceptions</t>
  </si>
  <si>
    <t>What Do Your Taxes Pay For?</t>
  </si>
  <si>
    <t>Pieces of the Federal Pie</t>
  </si>
  <si>
    <t>What If You Get Audited?</t>
  </si>
  <si>
    <t>Audits Have Changed</t>
  </si>
  <si>
    <t>What Is a 1035 Exchange?</t>
  </si>
  <si>
    <t>Trading In an Older Policy</t>
  </si>
  <si>
    <t>Partial Exchanges</t>
  </si>
  <si>
    <t>What the New Tax Bill Means for You</t>
  </si>
  <si>
    <t>Business Takes Center Stage</t>
  </si>
  <si>
    <t>Shifting Landscape</t>
  </si>
  <si>
    <t>You May Need to Make Estimated Tax Payments if…</t>
  </si>
  <si>
    <t>You May Need to Make Estimated Tax Payments If…</t>
  </si>
  <si>
    <t>How to Pay Estimated Taxes</t>
  </si>
  <si>
    <t>How to Figure Estimated Tax</t>
  </si>
  <si>
    <t>All Videos</t>
  </si>
  <si>
    <t>Comprehensive Planning With Purpose</t>
  </si>
  <si>
    <t>Investment Management</t>
  </si>
  <si>
    <t>SuccessionABC Planning</t>
  </si>
  <si>
    <t>You've been talking to your clients for years about the "work optional" lifestyle, but now it's your turn to retire and focus on what matters to you. </t>
  </si>
  <si>
    <t>Amy Lemke</t>
  </si>
  <si>
    <t>Director of Operations</t>
  </si>
  <si>
    <t>Andrea Vieyra</t>
  </si>
  <si>
    <t>Director of Sales and Marketing</t>
  </si>
  <si>
    <t>Dan Mahoney</t>
  </si>
  <si>
    <t>Senior Vice President</t>
  </si>
  <si>
    <t>Emily Moore</t>
  </si>
  <si>
    <t>Client Development Manager</t>
  </si>
  <si>
    <t>Jeff Thompson</t>
  </si>
  <si>
    <t>John Vanderpoel</t>
  </si>
  <si>
    <t>Vice President of Finance and Compliance</t>
  </si>
  <si>
    <t>Kirsten Davidson</t>
  </si>
  <si>
    <t>Office Manager</t>
  </si>
  <si>
    <t>Lindsey Lewis</t>
  </si>
  <si>
    <t>Client Experience Coordinator</t>
  </si>
  <si>
    <t>Michelle Vanderpoel</t>
  </si>
  <si>
    <t>Senior Recruiter</t>
  </si>
  <si>
    <t>Mike Rogers</t>
  </si>
  <si>
    <t>President</t>
  </si>
  <si>
    <t>Nicholas J Andresen, CFP</t>
  </si>
  <si>
    <t>Director of Wealth Management</t>
  </si>
  <si>
    <t>Robert Withers</t>
  </si>
  <si>
    <t>Theresa Goff</t>
  </si>
  <si>
    <t>Senior Client Service Manager</t>
  </si>
  <si>
    <t>Tom Whitnah</t>
  </si>
  <si>
    <t>CHAIN TYPE</t>
  </si>
  <si>
    <t>NUMBER OF REDIRECTS</t>
  </si>
  <si>
    <t>LOOP</t>
  </si>
  <si>
    <t>SOURCE</t>
  </si>
  <si>
    <t>TEMP REDIRECT IN CHAIN</t>
  </si>
  <si>
    <t>ADDRESS</t>
  </si>
  <si>
    <t>FINAL ADDRESS</t>
  </si>
  <si>
    <t>STATUS CODE 1</t>
  </si>
  <si>
    <t>REDIRECT URL 1</t>
  </si>
  <si>
    <t>STATUS CODE 2</t>
  </si>
  <si>
    <t>REDIRECT URL 2</t>
  </si>
  <si>
    <t>STATUS CODE 3</t>
  </si>
  <si>
    <t>REDIRECT URL 3</t>
  </si>
  <si>
    <t>STATUS CODE 4</t>
  </si>
  <si>
    <t>REDIRECT URL 4</t>
  </si>
  <si>
    <t>GSC (90 DAYS)</t>
  </si>
  <si>
    <t>UR (PAGE AUTHORITY)</t>
  </si>
  <si>
    <t>REFERRING DOMAINS</t>
  </si>
  <si>
    <t>DOFOLLOW LINKS</t>
  </si>
  <si>
    <t>NOFOLLOW LINKS</t>
  </si>
  <si>
    <t>HTTP STATUS</t>
  </si>
  <si>
    <t>TRAFFIC
(AHREFS)</t>
  </si>
  <si>
    <t>CLICKS</t>
  </si>
  <si>
    <t>IMPRESSIONS</t>
  </si>
  <si>
    <t>CTR</t>
  </si>
  <si>
    <t>POSITION</t>
  </si>
  <si>
    <t>no data</t>
  </si>
  <si>
    <t>Comparison</t>
  </si>
  <si>
    <t>Link Metrics by KEYWORD Ranking Result</t>
  </si>
  <si>
    <t>Rank</t>
  </si>
  <si>
    <t>---</t>
  </si>
  <si>
    <t>Ranking Page</t>
  </si>
  <si>
    <t>Total Backlinks</t>
  </si>
  <si>
    <t>Total Referring Domains</t>
  </si>
  <si>
    <t>URL Rating (UR)</t>
  </si>
  <si>
    <t>Site Metrics</t>
  </si>
  <si>
    <t>Domain Age</t>
  </si>
  <si>
    <t>15Y, 32D</t>
  </si>
  <si>
    <t>21Y, 236D</t>
  </si>
  <si>
    <t>16Y, 361D</t>
  </si>
  <si>
    <t>7Y, 281D</t>
  </si>
  <si>
    <t>Alexa Ranking (Global)</t>
  </si>
  <si>
    <t>Ahrefs Rank</t>
  </si>
  <si>
    <t>Link Metrics</t>
  </si>
  <si>
    <t>Moz</t>
  </si>
  <si>
    <t>Domain Authority (DA)</t>
  </si>
  <si>
    <t>Page Authority (PA)</t>
  </si>
  <si>
    <t>Ahrefs</t>
  </si>
  <si>
    <t>Domain Rating (DR)</t>
  </si>
  <si>
    <t>Referring Domains</t>
  </si>
  <si>
    <t>New Ref Domains (60 Days)</t>
  </si>
  <si>
    <t>Backlinks</t>
  </si>
  <si>
    <t>Index Metrics</t>
  </si>
  <si>
    <t>Crawled Pages</t>
  </si>
  <si>
    <t>Indexed Pages</t>
  </si>
  <si>
    <t>Top Pages (Organic)</t>
  </si>
  <si>
    <t>Page #1</t>
  </si>
  <si>
    <t>Page #2</t>
  </si>
  <si>
    <t>Page #3</t>
  </si>
  <si>
    <t>Page #4</t>
  </si>
  <si>
    <t>Page #5</t>
  </si>
  <si>
    <t>Top Keywords (Organic)</t>
  </si>
  <si>
    <t>#1</t>
  </si>
  <si>
    <t>silver oak wealth management</t>
  </si>
  <si>
    <t>vector wealth management</t>
  </si>
  <si>
    <t>boulay</t>
  </si>
  <si>
    <t>#2</t>
  </si>
  <si>
    <t>business consulting minneapolis</t>
  </si>
  <si>
    <t>#3</t>
  </si>
  <si>
    <t>silveroak wealth management llc</t>
  </si>
  <si>
    <t>how does inflation affect investments</t>
  </si>
  <si>
    <t>earnout accounting</t>
  </si>
  <si>
    <t>#4</t>
  </si>
  <si>
    <t>sns financial group</t>
  </si>
  <si>
    <t>dan markowitz</t>
  </si>
  <si>
    <t>#5</t>
  </si>
  <si>
    <t>silver oak wealth advisors</t>
  </si>
  <si>
    <t>sns financial</t>
  </si>
  <si>
    <t>esop</t>
  </si>
  <si>
    <t>Top Anchors</t>
  </si>
  <si>
    <t>website</t>
  </si>
  <si>
    <t>silveroak wealth management</t>
  </si>
  <si>
    <t>boulaygroup.com</t>
  </si>
  <si>
    <t>financial services firm located in minnetonka, mn</t>
  </si>
  <si>
    <t>vector financial network, inc.</t>
  </si>
  <si>
    <t>www.boulaygroup.com</t>
  </si>
  <si>
    <t>vectorwealth.com</t>
  </si>
  <si>
    <t>www.vectorwealth.com</t>
  </si>
  <si>
    <t>&lt;a&gt;no text&lt;/a&gt;</t>
  </si>
  <si>
    <t>silveroakwealth.com</t>
  </si>
  <si>
    <t>vector wealth management’s homepage</t>
  </si>
  <si>
    <t>visit website</t>
  </si>
  <si>
    <t>#6</t>
  </si>
  <si>
    <t>view website</t>
  </si>
  <si>
    <t>#7</t>
  </si>
  <si>
    <t>www.silveroakwealth.com</t>
  </si>
  <si>
    <t>#8</t>
  </si>
  <si>
    <t>#9</t>
  </si>
  <si>
    <t>[1]</t>
  </si>
  <si>
    <t>client login silveroak wealth management llc</t>
  </si>
  <si>
    <t>www.snsfinancialgroup.com</t>
  </si>
  <si>
    <t>boulay group</t>
  </si>
  <si>
    <t>#10</t>
  </si>
  <si>
    <t>go now</t>
  </si>
  <si>
    <t>boulay logo vertical positive cmyk</t>
  </si>
  <si>
    <t>Content Analysis (Blog)</t>
  </si>
  <si>
    <t>Blog?</t>
  </si>
  <si>
    <t>Yes</t>
  </si>
  <si>
    <t>No</t>
  </si>
  <si>
    <t>Best By Links</t>
  </si>
  <si>
    <t>Best By Shares</t>
  </si>
  <si>
    <t>Most FB Shares</t>
  </si>
  <si>
    <t>Most Tweets</t>
  </si>
  <si>
    <t>Most Pins</t>
  </si>
  <si>
    <t>Page Speed Comparison</t>
  </si>
  <si>
    <t>Load Time</t>
  </si>
  <si>
    <t>3.0s</t>
  </si>
  <si>
    <t>3.4s</t>
  </si>
  <si>
    <t>4.8s</t>
  </si>
  <si>
    <t>Requests</t>
  </si>
  <si>
    <t>Page Size</t>
  </si>
  <si>
    <t>21.7MB</t>
  </si>
  <si>
    <t>2.25MB</t>
  </si>
  <si>
    <t>14.6MB</t>
  </si>
  <si>
    <t>Performance</t>
  </si>
  <si>
    <t>Structure</t>
  </si>
  <si>
    <t xml:space="preserve">   CONTENT AUDIT</t>
  </si>
  <si>
    <t>ON-PAGE</t>
  </si>
  <si>
    <t>Main keyword:</t>
  </si>
  <si>
    <t>Page title:</t>
  </si>
  <si>
    <t>Meta description:</t>
  </si>
  <si>
    <t>H1:</t>
  </si>
  <si>
    <t>H2:</t>
  </si>
  <si>
    <t>Word count:</t>
  </si>
  <si>
    <t>KW-USAGE</t>
  </si>
  <si>
    <t>Is the main keyword...</t>
  </si>
  <si>
    <t>in TITLE</t>
  </si>
  <si>
    <t>in META</t>
  </si>
  <si>
    <t>NO</t>
  </si>
  <si>
    <t>in &lt;H1&gt;</t>
  </si>
  <si>
    <t>in &lt;H2&gt;</t>
  </si>
  <si>
    <t>283 words (current count for URL)</t>
  </si>
  <si>
    <t>840 words (current count for URL)</t>
  </si>
  <si>
    <t>988 words (current count for URL)</t>
  </si>
  <si>
    <t>967 words (current count for URL)</t>
  </si>
  <si>
    <t>873 words (current count for URL)</t>
  </si>
  <si>
    <t>Competitors:</t>
  </si>
  <si>
    <t>TOP 3 RANKING SITES</t>
  </si>
  <si>
    <t>AVERAGE</t>
  </si>
  <si>
    <t>DIFFERENCE</t>
  </si>
  <si>
    <t xml:space="preserve">PAGE SPEED </t>
  </si>
  <si>
    <t>&amp; SCHEMA</t>
  </si>
  <si>
    <t>PAGE SPEED</t>
  </si>
  <si>
    <t>SCHEMA</t>
  </si>
  <si>
    <t>Domain tested in this section:</t>
  </si>
  <si>
    <t>PageSpeed Insights</t>
  </si>
  <si>
    <t>Schema</t>
  </si>
  <si>
    <t>Link to report:</t>
  </si>
  <si>
    <t>Mobile</t>
  </si>
  <si>
    <t>Desktop</t>
  </si>
  <si>
    <t>Present?</t>
  </si>
  <si>
    <t>Errors</t>
  </si>
  <si>
    <t>Warnings</t>
  </si>
  <si>
    <t>Organization</t>
  </si>
  <si>
    <t>GTmetrix</t>
  </si>
  <si>
    <t>FAQ</t>
  </si>
  <si>
    <t>HowTo</t>
  </si>
  <si>
    <t>Q&amp;A</t>
  </si>
  <si>
    <t>Product</t>
  </si>
  <si>
    <t>Local business</t>
  </si>
  <si>
    <t>Articles</t>
  </si>
  <si>
    <t>LCP</t>
  </si>
  <si>
    <t>TBT</t>
  </si>
  <si>
    <t>CLS</t>
  </si>
  <si>
    <t>1.9s</t>
  </si>
  <si>
    <t>211ms</t>
  </si>
  <si>
    <t>KEYWORD</t>
  </si>
  <si>
    <t>MATCHES</t>
  </si>
  <si>
    <t>VOLUME</t>
  </si>
  <si>
    <t>DIFFICULTY</t>
  </si>
  <si>
    <t>wealthenhancement.com</t>
  </si>
  <si>
    <t>accredited.com</t>
  </si>
  <si>
    <t>marksgroup.com</t>
  </si>
  <si>
    <t>creativeplanning.com</t>
  </si>
  <si>
    <t>Ranking URL</t>
  </si>
  <si>
    <t>grat</t>
  </si>
  <si>
    <t>Not Ranked</t>
  </si>
  <si>
    <t>No ranking URL</t>
  </si>
  <si>
    <t>grats</t>
  </si>
  <si>
    <t>grantor retained annuity trust</t>
  </si>
  <si>
    <t>grat trust</t>
  </si>
  <si>
    <t>what is a grat</t>
  </si>
  <si>
    <t>83 b election stock options</t>
  </si>
  <si>
    <t>annuity trust</t>
  </si>
  <si>
    <t>grantor retained annuity trust example</t>
  </si>
  <si>
    <t>grantor-retained annuity trust</t>
  </si>
  <si>
    <t>what is a grat trust</t>
  </si>
  <si>
    <t>grantor retained annuity trusts</t>
  </si>
  <si>
    <t>grantor retained trust</t>
  </si>
  <si>
    <t>grat estate planning</t>
  </si>
  <si>
    <t>how does a grat work</t>
  </si>
  <si>
    <t>what is grat</t>
  </si>
  <si>
    <t>grantor annuity trust</t>
  </si>
  <si>
    <t>grat trust example</t>
  </si>
  <si>
    <t>independent wealth management firms</t>
  </si>
  <si>
    <t>top 100 money managers</t>
  </si>
  <si>
    <t>grantor retained annuity trust grat</t>
  </si>
  <si>
    <t>grat account</t>
  </si>
  <si>
    <t>grat tax</t>
  </si>
  <si>
    <t>grats trust</t>
  </si>
  <si>
    <t>wealth management website</t>
  </si>
  <si>
    <t>what is a grantor retained annuity trust</t>
  </si>
  <si>
    <t>minneapolis portfolio management group llc</t>
  </si>
  <si>
    <t>top 100 fee only wealth management firms</t>
  </si>
  <si>
    <t>what are grats</t>
  </si>
  <si>
    <t>what is an annuity trust</t>
  </si>
  <si>
    <t>LINKING ROOT DOMAIN</t>
  </si>
  <si>
    <t>DR</t>
  </si>
  <si>
    <t>CLIENT SITE</t>
  </si>
  <si>
    <t>Competitor 1</t>
  </si>
  <si>
    <t>Competitor 2</t>
  </si>
  <si>
    <t>Competitor 3</t>
  </si>
  <si>
    <t>Competitor 4</t>
  </si>
  <si>
    <t>Competitor 5</t>
  </si>
  <si>
    <t>5dollarsite.com</t>
  </si>
  <si>
    <t>couponsale.in</t>
  </si>
  <si>
    <t>investingreview.org</t>
  </si>
  <si>
    <t>investmenthelper.org</t>
  </si>
  <si>
    <t>keywordssuggestion.com</t>
  </si>
  <si>
    <t>sitelinks.info</t>
  </si>
  <si>
    <t>updownsite.com</t>
  </si>
  <si>
    <t>yellowpages.com</t>
  </si>
  <si>
    <t>apollo.io</t>
  </si>
  <si>
    <t>au-e.com</t>
  </si>
  <si>
    <t>autoseobacklinks.com</t>
  </si>
  <si>
    <t>cordylink.com</t>
  </si>
  <si>
    <t>freefoto.ca</t>
  </si>
  <si>
    <t>freekeyworddifficultytool.com</t>
  </si>
  <si>
    <t>idcrawl.com</t>
  </si>
  <si>
    <t>investor.com</t>
  </si>
  <si>
    <t>investwithpassion.com</t>
  </si>
  <si>
    <t>keyfora.com</t>
  </si>
  <si>
    <t>keyword-suggest-tool.com</t>
  </si>
  <si>
    <t>linkddl.com</t>
  </si>
  <si>
    <t>linkmio.com</t>
  </si>
  <si>
    <t>microlinkinc.com</t>
  </si>
  <si>
    <t>nichesblog.com</t>
  </si>
  <si>
    <t>safelinkchecker.com</t>
  </si>
  <si>
    <t>sitesinformation.com</t>
  </si>
  <si>
    <t>smartasset.com</t>
  </si>
  <si>
    <t>superpages.com</t>
  </si>
  <si>
    <t>urlbacklinks.com</t>
  </si>
  <si>
    <t>99insurance.com</t>
  </si>
  <si>
    <t>advancedsitestats.com</t>
  </si>
  <si>
    <t>anonymousite.com</t>
  </si>
  <si>
    <t>biglistofwebsites.com</t>
  </si>
  <si>
    <t>find-open.com</t>
  </si>
  <si>
    <t>freedirectorysite.com</t>
  </si>
  <si>
    <t>investmentnews.com</t>
  </si>
  <si>
    <t>jewjewjew.com</t>
  </si>
  <si>
    <t>keyworddensitychecker.com</t>
  </si>
  <si>
    <t>linkedbd.com</t>
  </si>
  <si>
    <t>loginy.co.uk</t>
  </si>
  <si>
    <t>nichesitemastery.com</t>
  </si>
  <si>
    <t>nocomo.org</t>
  </si>
  <si>
    <t>privatebanking.com</t>
  </si>
  <si>
    <t>thedealpages.com</t>
  </si>
  <si>
    <t>tntcode.com</t>
  </si>
  <si>
    <t>websiteperu.com</t>
  </si>
  <si>
    <t>wikibacklink.com</t>
  </si>
  <si>
    <t>worldwidetopsite.com</t>
  </si>
  <si>
    <t>1clickmoney.com</t>
  </si>
  <si>
    <t>addbloglink.com</t>
  </si>
  <si>
    <t>advisors.directory</t>
  </si>
  <si>
    <t>aeroleads.com</t>
  </si>
  <si>
    <t>bizexposed.com</t>
  </si>
  <si>
    <t>campaign-archive.com</t>
  </si>
  <si>
    <t>citylifestyle.com</t>
  </si>
  <si>
    <t>cnbc.com</t>
  </si>
  <si>
    <t>compareyourkeywords.com</t>
  </si>
  <si>
    <t>constantcontact.com</t>
  </si>
  <si>
    <t>contactout.com</t>
  </si>
  <si>
    <t>crunchbase.com</t>
  </si>
  <si>
    <t>customcraftedkeywords.com</t>
  </si>
  <si>
    <t>cylex.us.com</t>
  </si>
  <si>
    <t>elitenicheresearch.com</t>
  </si>
  <si>
    <t>forbes.com</t>
  </si>
  <si>
    <t>greensiteinfo.com</t>
  </si>
  <si>
    <t>infofree.com</t>
  </si>
  <si>
    <t>joesdata.com</t>
  </si>
  <si>
    <t>keyworddifficultycheck.com</t>
  </si>
  <si>
    <t>keywordresearchinc.com</t>
  </si>
  <si>
    <t>kitces.com</t>
  </si>
  <si>
    <t>leadferret.com</t>
  </si>
  <si>
    <t>linkspropeller.com</t>
  </si>
  <si>
    <t>local.yahoo.com</t>
  </si>
  <si>
    <t>logines.de</t>
  </si>
  <si>
    <t>loginsimple.de</t>
  </si>
  <si>
    <t>lowcompetitionkeywords.com</t>
  </si>
  <si>
    <t>neustarlocaleze.biz</t>
  </si>
  <si>
    <t>nytimes.com</t>
  </si>
  <si>
    <t>owler.com</t>
  </si>
  <si>
    <t>plannersearch.org</t>
  </si>
  <si>
    <t>prweb.com</t>
  </si>
  <si>
    <t>qdexx.com</t>
  </si>
  <si>
    <t>rawranked.com</t>
  </si>
  <si>
    <t>seniorfinanceadvisor.com</t>
  </si>
  <si>
    <t>signalhire.com</t>
  </si>
  <si>
    <t>site-stats.org</t>
  </si>
  <si>
    <t>sitelike.org</t>
  </si>
  <si>
    <t>siteprice.org</t>
  </si>
  <si>
    <t>stats-site.com</t>
  </si>
  <si>
    <t>stevesanduski.com</t>
  </si>
  <si>
    <t>theartfulhomedomain.com</t>
  </si>
  <si>
    <t>thinkadvisor.com</t>
  </si>
  <si>
    <t>urllinking.com</t>
  </si>
  <si>
    <t>urlm.co</t>
  </si>
  <si>
    <t>wealthminder.com</t>
  </si>
  <si>
    <t>websitedetection.com</t>
  </si>
  <si>
    <t>wimple.com</t>
  </si>
  <si>
    <t>wiseradvisor.com</t>
  </si>
  <si>
    <t>a-zbusinessfinder.com</t>
  </si>
  <si>
    <t>advisornews.com</t>
  </si>
  <si>
    <t>advisorperspectives.com</t>
  </si>
  <si>
    <t>advisorsmagazine.com</t>
  </si>
  <si>
    <t>advisoryhq.com</t>
  </si>
  <si>
    <t>ahmspro.com</t>
  </si>
  <si>
    <t>allbiz.com</t>
  </si>
  <si>
    <t>alpha-maven.com</t>
  </si>
  <si>
    <t>aobrien.org</t>
  </si>
  <si>
    <t>appadvice.com</t>
  </si>
  <si>
    <t>application.careers</t>
  </si>
  <si>
    <t>assettv.com</t>
  </si>
  <si>
    <t>bestappsfinder.com</t>
  </si>
  <si>
    <t>bigganprojukti.com</t>
  </si>
  <si>
    <t>billaffairs.com</t>
  </si>
  <si>
    <t>billpaymentonline.org</t>
  </si>
  <si>
    <t>bizhwy.com</t>
  </si>
  <si>
    <t>bizjournals.com</t>
  </si>
  <si>
    <t>bottomlineinc.com</t>
  </si>
  <si>
    <t>buntya.com</t>
  </si>
  <si>
    <t>businessinsider.com</t>
  </si>
  <si>
    <t>businessinsider.com.au</t>
  </si>
  <si>
    <t>businessinsider.my</t>
  </si>
  <si>
    <t>businessradiox.com</t>
  </si>
  <si>
    <t>carefulcents.com</t>
  </si>
  <si>
    <t>cbinsights.com</t>
  </si>
  <si>
    <t>company.com</t>
  </si>
  <si>
    <t>comparebroker.info</t>
  </si>
  <si>
    <t>complaintinfo.com</t>
  </si>
  <si>
    <t>crayon.co</t>
  </si>
  <si>
    <t>dandb.com</t>
  </si>
  <si>
    <t>dexknows.com</t>
  </si>
  <si>
    <t>digitalpodcast.com</t>
  </si>
  <si>
    <t>directorysiteslist.com</t>
  </si>
  <si>
    <t>dnsmap.com</t>
  </si>
  <si>
    <t>domainmetrics.de</t>
  </si>
  <si>
    <t>domainwat.ch</t>
  </si>
  <si>
    <t>early-retirement.org</t>
  </si>
  <si>
    <t>edinamag.com</t>
  </si>
  <si>
    <t>erealestatepro.com</t>
  </si>
  <si>
    <t>expertise.com</t>
  </si>
  <si>
    <t>ezlocal.com</t>
  </si>
  <si>
    <t>finance.yahoo.com</t>
  </si>
  <si>
    <t>find-us-here.com</t>
  </si>
  <si>
    <t>findabusinessthat.com</t>
  </si>
  <si>
    <t>fortune.com</t>
  </si>
  <si>
    <t>geoipfacts.com</t>
  </si>
  <si>
    <t>getcompanyinfo.com</t>
  </si>
  <si>
    <t>glassdoor.com</t>
  </si>
  <si>
    <t>gmx.co.uk</t>
  </si>
  <si>
    <t>gnomit.com</t>
  </si>
  <si>
    <t>growjo.com</t>
  </si>
  <si>
    <t>guidevine.com</t>
  </si>
  <si>
    <t>healthzaa.com</t>
  </si>
  <si>
    <t>hiswai.com</t>
  </si>
  <si>
    <t>homestead.com</t>
  </si>
  <si>
    <t>iknowfirst.com</t>
  </si>
  <si>
    <t>insart.com</t>
  </si>
  <si>
    <t>insider.com</t>
  </si>
  <si>
    <t>ispionage.com</t>
  </si>
  <si>
    <t>keyosa.com</t>
  </si>
  <si>
    <t>keyword-rank.com</t>
  </si>
  <si>
    <t>keywordpositionfinder.com</t>
  </si>
  <si>
    <t>keywordspay.com</t>
  </si>
  <si>
    <t>knowledgetrend.com</t>
  </si>
  <si>
    <t>knows.nl</t>
  </si>
  <si>
    <t>kritih.com</t>
  </si>
  <si>
    <t>linkdofollow.com</t>
  </si>
  <si>
    <t>localbest.com</t>
  </si>
  <si>
    <t>localdatabase.com</t>
  </si>
  <si>
    <t>localsolution.com</t>
  </si>
  <si>
    <t>loginarchive.com</t>
  </si>
  <si>
    <t>loginee.de</t>
  </si>
  <si>
    <t>loginpatrol.com</t>
  </si>
  <si>
    <t>logins-db.com</t>
  </si>
  <si>
    <t>loginwill.com</t>
  </si>
  <si>
    <t>mapquest.com</t>
  </si>
  <si>
    <t>marketwatch.com</t>
  </si>
  <si>
    <t>maven-data.com</t>
  </si>
  <si>
    <t>medium.com</t>
  </si>
  <si>
    <t>mergr.com</t>
  </si>
  <si>
    <t>minnpost.com</t>
  </si>
  <si>
    <t>moon.fm</t>
  </si>
  <si>
    <t>morningstar.com</t>
  </si>
  <si>
    <t>muckrack.com</t>
  </si>
  <si>
    <t>nasdaq.com</t>
  </si>
  <si>
    <t>nesteggzone.com</t>
  </si>
  <si>
    <t>news.yahoo.com</t>
  </si>
  <si>
    <t>newsbacklinks.com</t>
  </si>
  <si>
    <t>nextavenue.org</t>
  </si>
  <si>
    <t>podbay.fm</t>
  </si>
  <si>
    <t>podbean.com</t>
  </si>
  <si>
    <t>posters.ws</t>
  </si>
  <si>
    <t>prlog.ru</t>
  </si>
  <si>
    <t>prnewswire.com</t>
  </si>
  <si>
    <t>qwoted.com</t>
  </si>
  <si>
    <t>rapiddns.io</t>
  </si>
  <si>
    <t>real-estate-find.com</t>
  </si>
  <si>
    <t>regionaldirectory.us</t>
  </si>
  <si>
    <t>relationshipscience.com</t>
  </si>
  <si>
    <t>relsci.com</t>
  </si>
  <si>
    <t>researchgiant.com</t>
  </si>
  <si>
    <t>scamwarners.com</t>
  </si>
  <si>
    <t>seekingalpha.com</t>
  </si>
  <si>
    <t>seokeywordstool.com</t>
  </si>
  <si>
    <t>simplystocks.com</t>
  </si>
  <si>
    <t>startribune.com</t>
  </si>
  <si>
    <t>statvoo.com</t>
  </si>
  <si>
    <t>thedailywealthmultiplier.com</t>
  </si>
  <si>
    <t>topratedlocal.com</t>
  </si>
  <si>
    <t>updowntoday.com</t>
  </si>
  <si>
    <t>valuewalk.com</t>
  </si>
  <si>
    <t>watchinvestortv.com</t>
  </si>
  <si>
    <t>wealthmanagement.com</t>
  </si>
  <si>
    <t>website-checker.info</t>
  </si>
  <si>
    <t>websitekeywordchecker.com</t>
  </si>
  <si>
    <t>wikizer.com</t>
  </si>
  <si>
    <t>worldsciencejobs.com</t>
  </si>
  <si>
    <t>yp.com</t>
  </si>
  <si>
    <t>SEARCH INTENT</t>
  </si>
  <si>
    <t>TOPIC</t>
  </si>
  <si>
    <t>AVAILABLE SERP FEATURES</t>
  </si>
  <si>
    <t>FEATURED SNIPPET</t>
  </si>
  <si>
    <t>BENCHMARK POSITION</t>
  </si>
  <si>
    <t>PEOPLE ALSO ASK</t>
  </si>
  <si>
    <t>IMAGE PACKS</t>
  </si>
  <si>
    <t>RANK CHANGE</t>
  </si>
  <si>
    <t>PRE-LAUNCH RANK ()</t>
  </si>
  <si>
    <t>RANKING URL</t>
  </si>
  <si>
    <t>POST-LAUNCH RANK ()</t>
  </si>
  <si>
    <t>Other</t>
  </si>
  <si>
    <t>INVESTMENT MANAGEMENT</t>
  </si>
  <si>
    <t>Informational</t>
  </si>
  <si>
    <t>Commercial Investigation</t>
  </si>
  <si>
    <t>RETIREMENT PLANNING</t>
  </si>
  <si>
    <t>Sitelinks,People also ask,Top stories,Videos</t>
  </si>
  <si>
    <t>n/a</t>
  </si>
  <si>
    <t>Navigational</t>
  </si>
  <si>
    <t>WEALTH MANAGEMENT</t>
  </si>
  <si>
    <t>Adwords top,Sitelinks,People also ask,Adwords bottom</t>
  </si>
  <si>
    <t>Adwords top,People also ask,Adwords bottom</t>
  </si>
  <si>
    <t>Featured snippet,People also ask,Sitelinks</t>
  </si>
  <si>
    <t>Featured snippet,Thumbnails,People also ask,Sitelinks</t>
  </si>
  <si>
    <t>Transactional</t>
  </si>
  <si>
    <t>People also ask,Sitelinks,Top stories,Videos,Adwords bottom</t>
  </si>
  <si>
    <t>ESTATE PLANNING</t>
  </si>
  <si>
    <t>People also ask,Sitelinks</t>
  </si>
  <si>
    <t>Featured snippet,People also ask,Sitelinks,Top stories,Videos</t>
  </si>
  <si>
    <t>Featured snippet,Sitelinks</t>
  </si>
  <si>
    <t>Sitelinks,Videos</t>
  </si>
  <si>
    <t>People also ask,Image pack</t>
  </si>
  <si>
    <t>People also ask,Sitelinks,Top stories,Videos,Image pack,Adwords bottom</t>
  </si>
  <si>
    <t>People also ask,Sitelinks,Top stories,Videos</t>
  </si>
  <si>
    <t>Featured snippet,People also ask,Sitelinks,Adwords bottom</t>
  </si>
  <si>
    <t>Adwords top,People also ask,Sitelinks,Top stories,Videos,Adwords bottom</t>
  </si>
  <si>
    <t>Sitelinks,Image pack</t>
  </si>
  <si>
    <t>Featured snippet,Sitelinks,People also ask</t>
  </si>
  <si>
    <t>Sitelinks,People also ask,Top stories,Videos,Adwords bottom</t>
  </si>
  <si>
    <t>Featured snippet,People also ask,Videos</t>
  </si>
  <si>
    <t>Shopping results,Thumbnails</t>
  </si>
  <si>
    <t>People also ask,Adwords bottom</t>
  </si>
  <si>
    <t>Adwords top</t>
  </si>
  <si>
    <t>Adwords top,People also ask</t>
  </si>
  <si>
    <t>Adwords top,People also ask,Sitelinks,Adwords bottom</t>
  </si>
  <si>
    <t>People also ask,Sitelinks,Adwords bottom</t>
  </si>
  <si>
    <t>Sitelinks,People also ask</t>
  </si>
  <si>
    <t>Featured snippet,People also ask</t>
  </si>
  <si>
    <t>Sitelinks,Top stories,Videos</t>
  </si>
  <si>
    <t>Adwords top,Featured snippet,People also ask,Adwords bottom</t>
  </si>
  <si>
    <t>Adwords top,Featured snippet,Thumbnails,People also ask,Sitelinks,Adwords bottom</t>
  </si>
  <si>
    <t>Adwords top,Sitelinks,Adwords bottom</t>
  </si>
  <si>
    <t>People also ask,Top stories,Videos,Thumbnails,Sitelinks,Image pack</t>
  </si>
  <si>
    <t>People also ask,Sitelinks,Videos</t>
  </si>
  <si>
    <t>Featured snippet,Sitelinks,People also ask,Adwords bottom</t>
  </si>
  <si>
    <t>People also ask,Top stories,Videos,Sitelinks</t>
  </si>
  <si>
    <t>Sitelinks,People also ask,Videos,Adwords bottom</t>
  </si>
  <si>
    <t>Adwords top,Featured snippet,People also ask,Sitelinks,Adwords bottom</t>
  </si>
  <si>
    <t>Videos</t>
  </si>
  <si>
    <t>Featured snippet,Sitelinks,Adwords bottom</t>
  </si>
  <si>
    <t>Top stories,Videos</t>
  </si>
  <si>
    <t>Adwords top,Sitelinks,People also ask</t>
  </si>
  <si>
    <t>Shopping results,Thumbnails,Videos,Adwords bottom</t>
  </si>
  <si>
    <t>Adwords top,Featured snippet,People also ask,Sitelinks</t>
  </si>
  <si>
    <t>Adwords top,Featured snippet,People also ask</t>
  </si>
  <si>
    <t>Featured snippet,People also ask,Sitelinks,Top stories,Videos,Image pack</t>
  </si>
  <si>
    <t>People also ask,Sitelinks,Image pack</t>
  </si>
  <si>
    <t>Adwords top,People also ask,Top stories,Videos</t>
  </si>
  <si>
    <t>NEW TITLE</t>
  </si>
  <si>
    <t>NEW META DESCRIPTION</t>
  </si>
  <si>
    <t>OLD URL</t>
  </si>
  <si>
    <t>OLD PATH</t>
  </si>
  <si>
    <t>NEW URL</t>
  </si>
  <si>
    <t>NEW PATH</t>
  </si>
  <si>
    <t>Example Business | Big Picture Planning</t>
  </si>
  <si>
    <t>Example Business’s Big Picture Plan helps you move toward financial independence </t>
  </si>
  <si>
    <t>About | Example Business</t>
  </si>
  <si>
    <t>AdviseABC | Example Business</t>
  </si>
  <si>
    <t>Become a Example Business Advisor</t>
  </si>
  <si>
    <t>About Example Business</t>
  </si>
  <si>
    <t>Blog | Example Business</t>
  </si>
  <si>
    <t>12 Estate Planning Must-Dos | Example Business</t>
  </si>
  <si>
    <t>Example Business Acquires True North Capital Alliance</t>
  </si>
  <si>
    <t>Example Business Acquires Another Firm</t>
  </si>
  <si>
    <t>4 Things You Should Know About The Midterms | Example Business</t>
  </si>
  <si>
    <t>5 Steps to Take Before You're 65 | Example Business</t>
  </si>
  <si>
    <t>5 Ways to Build A Better Tax Plan | Example Business</t>
  </si>
  <si>
    <t>529 Savings Plans vs. Prepaid Tuition Plans | Example Business</t>
  </si>
  <si>
    <t>6 Things to Know about Retirement and the Coronavirus Relief Bill | Example Business</t>
  </si>
  <si>
    <t>6 Ways to a Happier Retirement | Example Business</t>
  </si>
  <si>
    <t>7 Things to Know About the USA-China Trade Dispute | Example Business</t>
  </si>
  <si>
    <t>Adding a Personal Backup With a Living Trust | Example Business</t>
  </si>
  <si>
    <t>Mike Rogers of Example Business discusses how a living trust and a professional trustee can give you an emergency backup program for your finances.</t>
  </si>
  <si>
    <t>Appropriate Checklists for Year-End Tax Planning | Example Business</t>
  </si>
  <si>
    <t>Balancing Act: Saving for Both Retirement and College | Example Business</t>
  </si>
  <si>
    <t>Big Annual Declines Are Rare | Example Business</t>
  </si>
  <si>
    <t>Breaking Down the Inverted Yield Curve | Example Business</t>
  </si>
  <si>
    <t>Coping With Market Volatility in Uncertain Times | Example Business</t>
  </si>
  <si>
    <t>Dirty Dozen Retirement Planning Mistakes | Example Business</t>
  </si>
  <si>
    <t>Eleven Ways to Help Yourself Stay Sane in a Crazy Market | Example Business</t>
  </si>
  <si>
    <t>End of Year (EOY) Deadlines Checklist | Example Business</t>
  </si>
  <si>
    <t>End of Year Planning: Set Goals and Reduce Taxes | Example Business</t>
  </si>
  <si>
    <t>Evaluating Investment Risk | Example Business</t>
  </si>
  <si>
    <t>Getting a Jump on January Tax Season | Example Business</t>
  </si>
  <si>
    <t>Have Stay-At-Home Growth Stocks Peaked? | Example Business</t>
  </si>
  <si>
    <t>How Our Economy Can Bounce Back | Example Business</t>
  </si>
  <si>
    <t>How Quickly Can Stocks Recover From COVID-19? | Example Business</t>
  </si>
  <si>
    <t>Example Business discusses recent market volatility and outlook on recoveries amid COVID-19.</t>
  </si>
  <si>
    <t>How to Protect Your Wealth as You Get Older | Example Business</t>
  </si>
  <si>
    <t>How to Reduce Retirement Anxiety | Example Business</t>
  </si>
  <si>
    <t>Invest Your Tax Refund | Example Business</t>
  </si>
  <si>
    <t>Investing in an Election Year | Example Business</t>
  </si>
  <si>
    <t>IRA vs. 401(k): What Savers Should Know | Example Business</t>
  </si>
  <si>
    <t>Is a Depression Coming? | Example Business</t>
  </si>
  <si>
    <t>Key Tax Deadlines for 2021 | Example Business</t>
  </si>
  <si>
    <t>COVID-19 Market Volatility Stresses Liquidity | Example Business</t>
  </si>
  <si>
    <t>Mike Rogers of Example Business provides insight on current market volatility and the economic impact of COVID-19 containment measures.</t>
  </si>
  <si>
    <t>Mid-Year Outlook 2019 | Example Business</t>
  </si>
  <si>
    <t>New Year's Resolutions to Get Your Finances in Order | Example Business</t>
  </si>
  <si>
    <t>Positive Signs From China on COVID-19 | Example Business</t>
  </si>
  <si>
    <t>Pulse Check: Should You Ignore the Economic Data and Pullback Odds Are Increasing | Example Business</t>
  </si>
  <si>
    <t>Putting Things in Perspective | Example Business</t>
  </si>
  <si>
    <t>Q&amp;A on the Trade War with China | Example Business</t>
  </si>
  <si>
    <t>Recognizing and Avoiding Online Scams | Example Business</t>
  </si>
  <si>
    <t>Resilience, Perseverance, and Innovation | Example Business</t>
  </si>
  <si>
    <t>Retirement Income Planning | Example Business</t>
  </si>
  <si>
    <t>Socially Responsible Investing | Example Business</t>
  </si>
  <si>
    <t>Surviving the Holiday Spending Season…Debt Free! | Example Business</t>
  </si>
  <si>
    <t>Tax Planning for Business Owners | Example Business</t>
  </si>
  <si>
    <t>Tax Planning for Income Example Business</t>
  </si>
  <si>
    <t>Tax Reform and Tax Preparation | Example Business</t>
  </si>
  <si>
    <t>Teaching Money Mindfulness to Your Children | Example Business</t>
  </si>
  <si>
    <t>The Covid-19 Battle | Example Business</t>
  </si>
  <si>
    <t>Three Steps to Build Your Savings | Example Business</t>
  </si>
  <si>
    <t>What Is in the $2 Trillion Relief Package? | Example Business</t>
  </si>
  <si>
    <t>Mike Rogers of Example Business discusses what's in the CARES Act relief package.</t>
  </si>
  <si>
    <t>What to Do With Your 401(k) When Changing Jobs | Example Business</t>
  </si>
  <si>
    <t>What You Need To File Your Taxes | Example Business</t>
  </si>
  <si>
    <t>When Will The Recession Officially Start? | Example Business</t>
  </si>
  <si>
    <t>Why A Potential Democrat Sweep May Not Be A Market Worry | Example Business</t>
  </si>
  <si>
    <t>Contact | Example Business</t>
  </si>
  <si>
    <t>Example Business</t>
  </si>
  <si>
    <t>Personal Information Form | Example Business</t>
  </si>
  <si>
    <t>Join-Us | Example Business</t>
  </si>
  <si>
    <t>LPL Research | Example Business</t>
  </si>
  <si>
    <t>Our Team | Example Business</t>
  </si>
  <si>
    <t>Services for Businesses | Example Business</t>
  </si>
  <si>
    <t>Example Business can help business owners navigate the sea of complex compliance and regulatory requirements.</t>
  </si>
  <si>
    <t>Client Culture | Example Business</t>
  </si>
  <si>
    <t>Webinars | Example Business</t>
  </si>
  <si>
    <t>All Articles | Example Business</t>
  </si>
  <si>
    <t>All Calculators | Example Business</t>
  </si>
  <si>
    <t>Estate | Example Business</t>
  </si>
  <si>
    <t>A Brief History of Estate Taxes | Example Business</t>
  </si>
  <si>
    <t>A Living Trust Primer | Example Business</t>
  </si>
  <si>
    <t>A Primer on Irrevocable Life Insurance Trusts | Example Business</t>
  </si>
  <si>
    <t>And the Executor Is | Example Business</t>
  </si>
  <si>
    <t>Charitable Giving: Smart from the Heart | Example Business</t>
  </si>
  <si>
    <t>Choosing a Business Structure | Example Business</t>
  </si>
  <si>
    <t>Critical Estate Documents | Example Business</t>
  </si>
  <si>
    <t>Estate Management 101 | Example Business</t>
  </si>
  <si>
    <t>Estate Management Checklist | Example Business</t>
  </si>
  <si>
    <t>Exit Strategies of the Rich and Famous | Example Business</t>
  </si>
  <si>
    <t>Four Reasons Millennials Need an Estate Strategy | Example Business</t>
  </si>
  <si>
    <t>Four Steps to Valuing an Estate | Example Business</t>
  </si>
  <si>
    <t>4 Steps to Protecting a Child with Disabilities | Example Business</t>
  </si>
  <si>
    <t>Problems with Probate | Example Business</t>
  </si>
  <si>
    <t>Put It in a Letter | Example Business</t>
  </si>
  <si>
    <t>Revising Estate Strategy Assumptions | Example Business</t>
  </si>
  <si>
    <t>Safeguard Your Digital Estate | Example Business</t>
  </si>
  <si>
    <t>Succeeding at Business Succession | Example Business</t>
  </si>
  <si>
    <t>Test Your Estate Strategy Knowledge | Example Business</t>
  </si>
  <si>
    <t>Tips for Finding Care for Your Disabled Child | Example Business</t>
  </si>
  <si>
    <t>Trends in Charitable Giving | Example Business</t>
  </si>
  <si>
    <t>What Is My Life Expectancy? | Example Business</t>
  </si>
  <si>
    <t>What is the Value of Your Business? | Example Business</t>
  </si>
  <si>
    <t>What Is My Current Net Worth? | Example Business</t>
  </si>
  <si>
    <t>What's My Potential Estate Tax? | Example Business</t>
  </si>
  <si>
    <t>When Do You Need a Will? | Example Business</t>
  </si>
  <si>
    <t>When Heirs are Imperfect | Example Business</t>
  </si>
  <si>
    <t>When Special Care Is Needed: The Special Needs Trust | Example Business</t>
  </si>
  <si>
    <t>Why Everyone Needs an Estate Strategy | Example Business</t>
  </si>
  <si>
    <t>Will Power | Example Business</t>
  </si>
  <si>
    <t>Insurance | Example Business</t>
  </si>
  <si>
    <t>A Brief Guide To Condo Insurance | Example Business</t>
  </si>
  <si>
    <t>An Overview of Renter’s Insurance | Example Business</t>
  </si>
  <si>
    <t>Assess Life Insurance Needs | Example Business</t>
  </si>
  <si>
    <t>Assess Your Life Insurance Needs | Example Business</t>
  </si>
  <si>
    <t>Breaking Down the Parts of Medicare | Example Business</t>
  </si>
  <si>
    <t>Buying Auto Insurance For Teen Drivers | Example Business</t>
  </si>
  <si>
    <t>Can Group, Private Disability Policies Work Together? | Example Business</t>
  </si>
  <si>
    <t>Directors and Officers Liability Insurance | Example Business</t>
  </si>
  <si>
    <t>Disability and Your Finances | Example Business</t>
  </si>
  <si>
    <t>Disability Income | Example Business</t>
  </si>
  <si>
    <t>Does Your Credit Score Affect Your Insurance Rates? | Example Business</t>
  </si>
  <si>
    <t>Errors and Omissions Insurance | Example Business</t>
  </si>
  <si>
    <t>Extended Care: A Patchwork of Possibilities | Example Business</t>
  </si>
  <si>
    <t>Fallen Tree Damage—Who Pays? | Example Business</t>
  </si>
  <si>
    <t>Gun Ownership and Your Homeowners Policy | Example Business</t>
  </si>
  <si>
    <t>A Look at Whole Life Insurance | Example Business</t>
  </si>
  <si>
    <t>How Insurance Deductibles Work | Example Business</t>
  </si>
  <si>
    <t>What You Should Do About Insurance Following a Divorce | Example Business</t>
  </si>
  <si>
    <t>Insurance Needs Assessment: For Empty Nesters and Retirees | Example Business</t>
  </si>
  <si>
    <t>Insurance Needs Assessment: When You're Newly Married | Example Business</t>
  </si>
  <si>
    <t>Insurance Needs Assessment: When You're Young and Single | Example Business</t>
  </si>
  <si>
    <t>Insuring Your Business Against Cyber Liability | Example Business</t>
  </si>
  <si>
    <t>Insuring Your Business With a Buy/Sell Agreement | Example Business</t>
  </si>
  <si>
    <t>Insuring Your Second Home | Example Business</t>
  </si>
  <si>
    <t>Inventorying Your Possessions | Example Business</t>
  </si>
  <si>
    <t>Is Term Life Insurance for You? | Example Business</t>
  </si>
  <si>
    <t>Keep Your Umbrella Handy | Example Business</t>
  </si>
  <si>
    <t>Keeping Summer Safe: Pool and Spa Safety Tips | Example Business</t>
  </si>
  <si>
    <t>Lifetime of Earnings | Example Business</t>
  </si>
  <si>
    <t>Long-Term-Care Needs | Example Business</t>
  </si>
  <si>
    <t>Making Sense Of A Home Warranty | Example Business</t>
  </si>
  <si>
    <t>Medicare Advantage 101 | Example Business</t>
  </si>
  <si>
    <t>Medicare Advantage Plans (Medicare Part C) | Example Business</t>
  </si>
  <si>
    <t>Medicare At 65+ | Example Business</t>
  </si>
  <si>
    <t>Medicare vs. Medicaid | Example Business</t>
  </si>
  <si>
    <t>Planning for the Expected | Example Business</t>
  </si>
  <si>
    <t>Prescription Drug Benefits Under Medicare (Part D) | Example Business</t>
  </si>
  <si>
    <t>Protecting Those Who Matter Most | Example Business</t>
  </si>
  <si>
    <t>Protecting Your Business from the Loss of a Key Person | Example Business</t>
  </si>
  <si>
    <t>Protecting Your Home Against Flood Loss | Example Business</t>
  </si>
  <si>
    <t>Qualifying For Medicare Under Age 65 | Example Business</t>
  </si>
  <si>
    <t>Questions to Ask About Medicare | Example Business</t>
  </si>
  <si>
    <t>Replacing Your Medicare Card | Example Business</t>
  </si>
  <si>
    <t>Retiree Health Care Coverage Overseas | Example Business</t>
  </si>
  <si>
    <t>Silver Sneakers 101 | Example Business</t>
  </si>
  <si>
    <t>Stay Safe with a B.O.P. At Your Back | Example Business</t>
  </si>
  <si>
    <t>Term vs. Permanent Life Insurance | Example Business</t>
  </si>
  <si>
    <t>Test Your Life Insurance Knowledge | Example Business</t>
  </si>
  <si>
    <t>The A, B, C, &amp; D of Medicare | Example Business</t>
  </si>
  <si>
    <t>The ABC’s of Auto Insurance | Example Business</t>
  </si>
  <si>
    <t>The Basics of Medicare | Example Business</t>
  </si>
  <si>
    <t>The Cost of Medical Care | Example Business</t>
  </si>
  <si>
    <t>The Most Overlooked Item of Any Home Improvement | Example Business</t>
  </si>
  <si>
    <t>The Other Sure Thing | Example Business</t>
  </si>
  <si>
    <t>The Value of Insuring Against Life’s Risks | Example Business</t>
  </si>
  <si>
    <t>Understanding Homeowner’s Insurance | Example Business</t>
  </si>
  <si>
    <t>Understanding Long-Term Care | Example Business</t>
  </si>
  <si>
    <t>Understanding the Basics of Medigap Policies | Example Business</t>
  </si>
  <si>
    <t>Universal Life Insurance | Example Business</t>
  </si>
  <si>
    <t>Variable Universal Life Insurance | Example Business</t>
  </si>
  <si>
    <t>Ways to Supplement Your Medicare Coverage | Example Business</t>
  </si>
  <si>
    <t>What to Look for in a Long-Term Care Policy | Example Business</t>
  </si>
  <si>
    <t>When Does Your Personal Car Become a Commercial Vehicle? | Example Business</t>
  </si>
  <si>
    <t>When Life Insurance Becomes Taxable | Example Business</t>
  </si>
  <si>
    <t>When to Self-Insure | Example Business</t>
  </si>
  <si>
    <t>Your DNA Test | Example Business</t>
  </si>
  <si>
    <t>Investment | Example Business</t>
  </si>
  <si>
    <t>16 Wall Street Cliches in 60 Seconds | Example Business</t>
  </si>
  <si>
    <t>5 Smart Investing Strategies | Example Business</t>
  </si>
  <si>
    <t>A Decision Not Made Is Still a Decision | Example Business</t>
  </si>
  <si>
    <t>A Look at Diversification | Example Business</t>
  </si>
  <si>
    <t>A Primer on Dividends | Example Business</t>
  </si>
  <si>
    <t>A Taxing Story: Capital Gains and Losses | Example Business</t>
  </si>
  <si>
    <t>All Muni Bonds Are Not Created Equal | Example Business</t>
  </si>
  <si>
    <t>Alternative Investments - Going Mainstream | Example Business</t>
  </si>
  <si>
    <t>Are Alternative Investments Right for You? | Example Business</t>
  </si>
  <si>
    <t>Asset Allocation | Example Business</t>
  </si>
  <si>
    <t>Best-Performing Asset Classes | Example Business</t>
  </si>
  <si>
    <t>Bridging the Confidence Gap | Example Business</t>
  </si>
  <si>
    <t>Bursting the Bubble | Example Business</t>
  </si>
  <si>
    <t>The Business Cycle | Example Business</t>
  </si>
  <si>
    <t>Can Election Results Predict the Market? | Example Business</t>
  </si>
  <si>
    <t>Contributing to an IRA? | Example Business</t>
  </si>
  <si>
    <t>Don’t Be Your Own Worst Enemy | Example Business</t>
  </si>
  <si>
    <t>Earnings for All Seasons | Example Business</t>
  </si>
  <si>
    <t>Emerging Market Opportunities | Example Business</t>
  </si>
  <si>
    <t>Estimating the Cost of College | Example Business</t>
  </si>
  <si>
    <t>Events on Wall Street | Example Business</t>
  </si>
  <si>
    <t>Four Really Good Reasons to Invest | Example Business</t>
  </si>
  <si>
    <t>Getting a Head Start on College Savings | Example Business</t>
  </si>
  <si>
    <t>Global vs. International: What’s The Difference? | Example Business</t>
  </si>
  <si>
    <t>How Compound Interest Works | Example Business</t>
  </si>
  <si>
    <t>How Stocks Work | Example Business</t>
  </si>
  <si>
    <t>How the Federal Reserve Works | Example Business</t>
  </si>
  <si>
    <t>How to Invest in LGBTQ+ Friendly Companies | Example Business</t>
  </si>
  <si>
    <t>Impact of Taxes and Inflation | Example Business</t>
  </si>
  <si>
    <t>Inflation and Your Portfolio | Example Business</t>
  </si>
  <si>
    <t>Investing for Impact | Example Business</t>
  </si>
  <si>
    <t>Investing with Your Heart | Example Business</t>
  </si>
  <si>
    <t>Investment Challenges of the Affluent Investor | Example Business</t>
  </si>
  <si>
    <t>The Investment Risk No One’s Ever Heard Of | Example Business</t>
  </si>
  <si>
    <t>Investments | Example Business</t>
  </si>
  <si>
    <t>It Was the Best of Times, It Was the Worst of Times | Example Business</t>
  </si>
  <si>
    <t>Jane Bond: Decoding Diversification | Example Business</t>
  </si>
  <si>
    <t>Jane Bond: Infiltrating the Market | Example Business</t>
  </si>
  <si>
    <t>Jane Bond: Scaling the Ladder | Example Business</t>
  </si>
  <si>
    <t>Mutual Funds vs. ETFs | Example Business</t>
  </si>
  <si>
    <t>Pullbacks, Corrections, and Bear Markets | Example Business</t>
  </si>
  <si>
    <t>Rebalancing Your Portfolio | Example Business</t>
  </si>
  <si>
    <t>Saving for College | Example Business</t>
  </si>
  <si>
    <t>Should You Invest in Exchange Traded Funds? | Example Business</t>
  </si>
  <si>
    <t>Taxable vs. Tax-Deferred Savings | Example Business</t>
  </si>
  <si>
    <t>The ABCs of Zero Coupon Bonds | Example Business</t>
  </si>
  <si>
    <t>The Anatomy of an Index | Example Business</t>
  </si>
  <si>
    <t>The Cycle of Investing | Example Business</t>
  </si>
  <si>
    <t>Required Reading: The Economic Report of the President | Example Business</t>
  </si>
  <si>
    <t>The Fed and How It Got That Way | Example Business</t>
  </si>
  <si>
    <t>The Great Debate Continues: Active vs. Passive | Example Business</t>
  </si>
  <si>
    <t>The Ivory Tower Changes Wall Street | Example Business</t>
  </si>
  <si>
    <t>The Junk Drawer Approach to Investing | Example Business</t>
  </si>
  <si>
    <t>The Real Cost of a Vacation Home | Example Business</t>
  </si>
  <si>
    <t>4 Reasons for the Return of Market Volatility | Example Business</t>
  </si>
  <si>
    <t>The Rule of 72 | Example Business</t>
  </si>
  <si>
    <t>The Utility of Sector Investing | Example Business</t>
  </si>
  <si>
    <t>TIPS for Inflation | Example Business</t>
  </si>
  <si>
    <t>Types of Stock Market Analysis | Example Business</t>
  </si>
  <si>
    <t>Value vs. Growth Investing | Example Business</t>
  </si>
  <si>
    <t>What Is My Risk Tolerance? | Example Business</t>
  </si>
  <si>
    <t>What Is the Dividend Yield? | Example Business</t>
  </si>
  <si>
    <t>What Smart Investors Know | Example Business</t>
  </si>
  <si>
    <t>What’s Your Investment IQ? | Example Business</t>
  </si>
  <si>
    <t>When Markets React | Example Business</t>
  </si>
  <si>
    <t>Where Is the Market Headed? | Example Business</t>
  </si>
  <si>
    <t>You Would Rather Be... | Example Business</t>
  </si>
  <si>
    <t>Lifestyle | Example Business</t>
  </si>
  <si>
    <t>A Cheat Sheet for Sending Your Kid to College | Example Business</t>
  </si>
  <si>
    <t>A House Divided | Example Business</t>
  </si>
  <si>
    <t>A New Way to Look at Your Bucket List | Example Business</t>
  </si>
  <si>
    <t>Acres of Diamonds | Example Business</t>
  </si>
  <si>
    <t>An Arm and a Leg | Example Business</t>
  </si>
  <si>
    <t>Avoiding Cognitive Decline | Example Business</t>
  </si>
  <si>
    <t>Best Vacations: By Car, By Ship, By Foot, Once in a Lifetime | Example Business</t>
  </si>
  <si>
    <t>Bi-Weekly Payments | Example Business</t>
  </si>
  <si>
    <t>Building Your Legacy | Example Business</t>
  </si>
  <si>
    <t>Can I Refinance My Mortgage? | Example Business</t>
  </si>
  <si>
    <t>Changing Unhealthy Behaviors | Example Business</t>
  </si>
  <si>
    <t>Choosing a Mortgage | Example Business</t>
  </si>
  <si>
    <t>Coaches | Example Business</t>
  </si>
  <si>
    <t>Comparing Mortgage Terms | Example Business</t>
  </si>
  <si>
    <t>Consider These 3 Things Before Driving Off the Lot | Example Business</t>
  </si>
  <si>
    <t>Countdown to College | Example Business</t>
  </si>
  <si>
    <t>Creative Ways to Motivate Your Employees | Example Business</t>
  </si>
  <si>
    <t>Crowdfunding—Capital for the 21st Century | Example Business</t>
  </si>
  <si>
    <t>Debt Stress | Example Business</t>
  </si>
  <si>
    <t>Do Your Kids Know The Value of a Silver Spoon? | Example Business</t>
  </si>
  <si>
    <t>Forecast | Example Business</t>
  </si>
  <si>
    <t>Four Great, Unexpected Places to Raise a Family | Example Business</t>
  </si>
  <si>
    <t>Good Health is Good Business | Example Business</t>
  </si>
  <si>
    <t>Healthy Body, Healthy Pocketbook | Example Business</t>
  </si>
  <si>
    <t>How Much Home Can I Afford? | Example Business</t>
  </si>
  <si>
    <t>Interested in a Fuel Efficient Car? | Example Business</t>
  </si>
  <si>
    <t>Keeping Good Records is Good Business | Example Business</t>
  </si>
  <si>
    <t>Lots of Variables with Fixed-Rate Mortgages | Example Business</t>
  </si>
  <si>
    <t>Managing Your Lifestyle | Example Business</t>
  </si>
  <si>
    <t>Mastering Mobile Lingo | Example Business</t>
  </si>
  <si>
    <t>Money Draining Food Myths | Example Business</t>
  </si>
  <si>
    <t>Personal Finance Tips for Military Families | Example Business</t>
  </si>
  <si>
    <t>Please Leave Home Without It | Example Business</t>
  </si>
  <si>
    <t>Putting a Price Tag On Your Health | Example Business</t>
  </si>
  <si>
    <t>Raising Healthy Children | Example Business</t>
  </si>
  <si>
    <t>Retiring Wild: National Parks and You | Example Business</t>
  </si>
  <si>
    <t>Saving on Subscription Service Costs | Example Business</t>
  </si>
  <si>
    <t>Should I Buy or Lease an Auto? | Example Business</t>
  </si>
  <si>
    <t>Should I Pay Off Debt or Invest? | Example Business</t>
  </si>
  <si>
    <t>Fixed or Variable Mortgage, Which Should You Pick? | Example Business</t>
  </si>
  <si>
    <t>Stop Wasting Money | Example Business</t>
  </si>
  <si>
    <t>Suddenly Single: 3 Steps to Take Now | Example Business</t>
  </si>
  <si>
    <t>Surprises | Example Business</t>
  </si>
  <si>
    <t>The Richest Man in Babylon | Example Business</t>
  </si>
  <si>
    <t>Prevent a Rift: Money Tips for Newlyweds | Example Business</t>
  </si>
  <si>
    <t>To Buy or Not to Buy | Example Business</t>
  </si>
  <si>
    <t>To Catch a Thief | Example Business</t>
  </si>
  <si>
    <t>Top New Digital Tools for Small Businesses | Example Business</t>
  </si>
  <si>
    <t>Travel, Without the Baggage | Example Business</t>
  </si>
  <si>
    <t>What to Do When You Lose Your Wallet | Example Business</t>
  </si>
  <si>
    <t>Money | Example Business</t>
  </si>
  <si>
    <t>A Penny Saved is Two Pennies Earned | Example Business</t>
  </si>
  <si>
    <t>Budget Check Up: Tax Time Is the Right Time | Example Business</t>
  </si>
  <si>
    <t>Budgeting After a Divorce | Example Business</t>
  </si>
  <si>
    <t>Buying vs. Leasing a Car | Example Business</t>
  </si>
  <si>
    <t>Countering Counterfeit Currency | Example Business</t>
  </si>
  <si>
    <t>Doubling Your Money | Example Business</t>
  </si>
  <si>
    <t>Historical Inflation | Example Business</t>
  </si>
  <si>
    <t>How Big is Money? | Example Business</t>
  </si>
  <si>
    <t>How Does Your Credit Score Compare? | Example Business</t>
  </si>
  <si>
    <t>Mortgages in Retirement | Example Business</t>
  </si>
  <si>
    <t>Once Upon a Goal | Example Business</t>
  </si>
  <si>
    <t>Password Protection Strategies | Example Business</t>
  </si>
  <si>
    <t>Pay Yourself First | Example Business</t>
  </si>
  <si>
    <t>Paying Off a Credit Card | Example Business</t>
  </si>
  <si>
    <t>Saving for College 101 | Example Business</t>
  </si>
  <si>
    <t>Spotting Credit Trouble | Example Business</t>
  </si>
  <si>
    <t>Strategies For Managing Student Loan Debt | Example Business</t>
  </si>
  <si>
    <t>Surprise! You’ve Got Money! | Example Business</t>
  </si>
  <si>
    <t>The Average American Budget | Example Business</t>
  </si>
  <si>
    <t>The Cost of Procrastination | Example Business</t>
  </si>
  <si>
    <t>The Economic Journey of Your Morning Coffee | Example Business</t>
  </si>
  <si>
    <t>The Half Million Dollar Baby | Example Business</t>
  </si>
  <si>
    <t>The Latte Lie and Other Myths | Example Business</t>
  </si>
  <si>
    <t>The Lowdown on Those Free Credit Scores | Example Business</t>
  </si>
  <si>
    <t>The Power of Compound Interest | Example Business</t>
  </si>
  <si>
    <t>U.S. Personal Savings Rate | Example Business</t>
  </si>
  <si>
    <t>Weighing the Benefits of Prepaid Debit Cards | Example Business</t>
  </si>
  <si>
    <t>What Is My Current Cash Flow? | Example Business</t>
  </si>
  <si>
    <t>What Our Kids Can Teach us About Saving Money | Example Business</t>
  </si>
  <si>
    <t>What to Look for in Personal Finance Apps | Example Business</t>
  </si>
  <si>
    <t>Year-End Charitable Gifting and You | Example Business</t>
  </si>
  <si>
    <t>Your Emergency Fund: How Much Is Enough? | Example Business</t>
  </si>
  <si>
    <t>All Presentations | Example Business</t>
  </si>
  <si>
    <t>Retirement | Example Business</t>
  </si>
  <si>
    <t>18 Years’ Worth of Days | Example Business</t>
  </si>
  <si>
    <t>Choices for Your 401(k) at a Former Employer | Example Business</t>
  </si>
  <si>
    <t>9 Facts About Retirement | Example Business</t>
  </si>
  <si>
    <t>9 Facts About Social Security | Example Business</t>
  </si>
  <si>
    <t>A Bucket Plan to Go with Your Bucket List | Example Business</t>
  </si>
  <si>
    <t>A Fruitful Retirement: Social Security Benefit | Example Business</t>
  </si>
  <si>
    <t>A Look at Systematic Withdrawals | Example Business</t>
  </si>
  <si>
    <t>An Inside Look at Retirement Living | Example Business</t>
  </si>
  <si>
    <t>Annuity Comparison | Example Business</t>
  </si>
  <si>
    <t>Caring for Aging Parents | Example Business</t>
  </si>
  <si>
    <t>Catch-Up Contributions | Example Business</t>
  </si>
  <si>
    <t>Certain Uncertainties in Retirement | Example Business</t>
  </si>
  <si>
    <t>Choosing a Retirement Plan that Fits Your Business | Example Business</t>
  </si>
  <si>
    <t>When Should You Take Social Security | Example Business</t>
  </si>
  <si>
    <t>Does Your Portfolio Fit Your Retirement Lifestyle? | Example Business</t>
  </si>
  <si>
    <t>Dreaming Up an Active Retirement | Example Business</t>
  </si>
  <si>
    <t>Eight Mistakes That Can Upend Your Retirement | Example Business</t>
  </si>
  <si>
    <t>Encore Careers: Push Your Boundaries | Example Business</t>
  </si>
  <si>
    <t>Healthcare Costs in Retirement | Example Business</t>
  </si>
  <si>
    <t>How Retirement Spending Changes With Time | Example Business</t>
  </si>
  <si>
    <t>How Will Working Affect Social Security Benefits? | Example Business</t>
  </si>
  <si>
    <t>Immediate vs. Deferred Annuities | Example Business</t>
  </si>
  <si>
    <t>Important Birthdays Over 50 | Example Business</t>
  </si>
  <si>
    <t>Inflation - Back to the Future | Example Business</t>
  </si>
  <si>
    <t>Investment Strategies for Retirement | Example Business</t>
  </si>
  <si>
    <t>IRA Withdrawals that Escape the 10% Tax Penalty | Example Business</t>
  </si>
  <si>
    <t>Is a SEP-IRA Right for Your Business? | Example Business</t>
  </si>
  <si>
    <t>Is a Variable Annuity Right for Me? | Example Business</t>
  </si>
  <si>
    <t>Lesser Known Provisions of the SECURE Act | Example Business</t>
  </si>
  <si>
    <t>Money that Buys Good Health is Never Ill Spent | Example Business</t>
  </si>
  <si>
    <t>My Retirement Savings | Example Business</t>
  </si>
  <si>
    <t>Orchestrating Your Retirement Accounts | Example Business</t>
  </si>
  <si>
    <t>Perception vs. Reality | Example Business</t>
  </si>
  <si>
    <t>Potential Income from an IRA | Example Business</t>
  </si>
  <si>
    <t>RE: Retirement | Example Business</t>
  </si>
  <si>
    <t>Retirement Income and the Traditional Portfolio | Example Business</t>
  </si>
  <si>
    <t>Retirement Realities | Example Business</t>
  </si>
  <si>
    <t>Retirement Redefined | Example Business</t>
  </si>
  <si>
    <t>Retirement Traps to Avoid | Example Business</t>
  </si>
  <si>
    <t>Retiring in a Post-Pandemic World | Example Business</t>
  </si>
  <si>
    <t>Retiring the 4% Rule | Example Business</t>
  </si>
  <si>
    <t>Rightsizing for Retirement | Example Business</t>
  </si>
  <si>
    <t>Risk Tolerance: What’s Your Style? | Example Business</t>
  </si>
  <si>
    <t>Roth 401(k) vs. Traditional 401(k) | Example Business</t>
  </si>
  <si>
    <t>Saving for Retirement | Example Business</t>
  </si>
  <si>
    <t>Self-Employed Retirement Plans | Example Business</t>
  </si>
  <si>
    <t>Should You Borrow from Your 401(k)? | Example Business</t>
  </si>
  <si>
    <t>Should You Ever Retire? | Example Business</t>
  </si>
  <si>
    <t>Should You Tap Retirement Savings to Fund College? | Example Business</t>
  </si>
  <si>
    <t>Social Security: Five Facts You Need to Know | Example Business</t>
  </si>
  <si>
    <t>Social Security: By the Numbers | Example Business</t>
  </si>
  <si>
    <t>Social Security Benefits: How Much Will I Receive | Example Business</t>
  </si>
  <si>
    <t>Social Security: The $64,000 Question | Example Business</t>
  </si>
  <si>
    <t>Social Security: The Elephant in the Room | Example Business</t>
  </si>
  <si>
    <t>Social Security: Two Benefit Strategies Eliminated | Example Business</t>
  </si>
  <si>
    <t>Split Annuity Strategy | Example Business</t>
  </si>
  <si>
    <t>The Long Run: Women and Retirement | Example Business</t>
  </si>
  <si>
    <t>The Power of Tax-Deferred Growth | Example Business</t>
  </si>
  <si>
    <t>The Pre-Retirement Checklist | Example Business</t>
  </si>
  <si>
    <t>The SECURE Act | Example Business</t>
  </si>
  <si>
    <t>Thinking of Retiring Abroad? | Example Business</t>
  </si>
  <si>
    <t>Three Key Questions to Answer Before Taking Social Security | Example Business</t>
  </si>
  <si>
    <t>Traditional vs. Roth IRA | Example Business</t>
  </si>
  <si>
    <t>Understanding the SECURE Act | Example Business</t>
  </si>
  <si>
    <t>Volunteering in Retirement | Example Business</t>
  </si>
  <si>
    <t>What Is a Roth 401(k)? | Example Business</t>
  </si>
  <si>
    <t>What Is an Annuity? | Example Business</t>
  </si>
  <si>
    <t>What's New for Social Security? | Example Business</t>
  </si>
  <si>
    <t>Where Will Your Retirement Money Come From? | Example Business</t>
  </si>
  <si>
    <t>Why Medicare Should Be Part of Your Retirement Strategy | Example Business</t>
  </si>
  <si>
    <t>Women on the Rise | Example Business</t>
  </si>
  <si>
    <t>Your Changing Definition of Risk in Retirement | Example Business</t>
  </si>
  <si>
    <t>Tax | Example Business</t>
  </si>
  <si>
    <t>Capital Gains Tax Estimator | Example Business</t>
  </si>
  <si>
    <t>Comparing Investments | Example Business</t>
  </si>
  <si>
    <t>Filing Final Tax Returns for the Deceased | Example Business</t>
  </si>
  <si>
    <t>“Dirty Dozen” Tax Scams to Watch For | Example Business</t>
  </si>
  <si>
    <t>Do You Owe The AMT? | Example Business</t>
  </si>
  <si>
    <t>Does Your Child Need to File an Income Tax Return? | Example Business</t>
  </si>
  <si>
    <t>Donating Art: Taxation Abstraction | Example Business</t>
  </si>
  <si>
    <t>Federal Income Tax | Example Business</t>
  </si>
  <si>
    <t>Five Most Overlooked Tax Deductions | Example Business</t>
  </si>
  <si>
    <t>Get Paid for Going Green | Example Business</t>
  </si>
  <si>
    <t>Home Mortgage Deduction | Example Business</t>
  </si>
  <si>
    <t>How Income Taxes Work | Example Business</t>
  </si>
  <si>
    <t>How to Appeal Your Property Taxes | Example Business</t>
  </si>
  <si>
    <t>How to Make the Tax Code Work for You | Example Business</t>
  </si>
  <si>
    <t>Red Flags for Tax Auditors | Example Business</t>
  </si>
  <si>
    <t>Social Security Taxes | Example Business</t>
  </si>
  <si>
    <t>Tax Deductions You Won't Believe | Example Business</t>
  </si>
  <si>
    <t>Tax Freedom Day | Example Business</t>
  </si>
  <si>
    <t>Tax Reform: Before and After | Example Business</t>
  </si>
  <si>
    <t>Tax Rules When Selling Your Home | Example Business</t>
  </si>
  <si>
    <t>The Facts About Income Tax | Example Business</t>
  </si>
  <si>
    <t>What Do Your Taxes Pay For? | Example Business</t>
  </si>
  <si>
    <t>What If You Get Audited? | Example Business</t>
  </si>
  <si>
    <t>What Is a 1035 Exchange? | Example Business</t>
  </si>
  <si>
    <t>What the New Tax Bill Means for You | Example Business</t>
  </si>
  <si>
    <t>All Videos | Example Business</t>
  </si>
  <si>
    <t>Services | Example Business</t>
  </si>
  <si>
    <t>SuccessionABC | Example Business</t>
  </si>
  <si>
    <t>Amy Lemke | Example Business</t>
  </si>
  <si>
    <t>Andrea Vieyra | Example Business</t>
  </si>
  <si>
    <t>Dan Mahoney | Example Business</t>
  </si>
  <si>
    <t>Emily Moore | Example Business</t>
  </si>
  <si>
    <t>Jeff Thompson | Example Business</t>
  </si>
  <si>
    <t>John Vanderpoel | Example Business</t>
  </si>
  <si>
    <t>Kirsten Davidson | Example Business</t>
  </si>
  <si>
    <t>Lindsey Lewis | Example Business</t>
  </si>
  <si>
    <t>Michelle Vanderpoel | Example Business</t>
  </si>
  <si>
    <t>Mike Rogers | Example Business</t>
  </si>
  <si>
    <t>Nicholas J Andresen, CFP | Example Business</t>
  </si>
  <si>
    <t>Robert Withers | Example Business</t>
  </si>
  <si>
    <t>Theresa Goff | Example Business</t>
  </si>
  <si>
    <t>Tom Whitnah | Example Business</t>
  </si>
  <si>
    <t>Example Business group</t>
  </si>
  <si>
    <t>Example Business literacy</t>
  </si>
  <si>
    <t>Example Business group final expense</t>
  </si>
  <si>
    <t>lifeExample Business planning</t>
  </si>
  <si>
    <t>Example Business group llc</t>
  </si>
  <si>
    <t>There is some service schema present, but it has an error because of the missing image.</t>
  </si>
  <si>
    <t>A majority of anchors have branded and generic anchor text, with low/no risk of over-optimization penalties. Would avoid any more uses of this anchor text "services firm located in minnetonka, mn".</t>
  </si>
  <si>
    <t>3. Add/update schema markup on the site. Would start with fixing the ExampleService schema that is missing an image. Also consider adding FAQ schema in where possible, especially on key service pages.</t>
  </si>
  <si>
    <t>Example Business’s Big Picture Plan helps you move toward Example independence </t>
  </si>
  <si>
    <t>5 Important Example Resolutions for 2019 | Example Business</t>
  </si>
  <si>
    <t>5 Important Example Resolutions for 2019</t>
  </si>
  <si>
    <t>What happens when you’ve reached your goals and you have the resources to retire comfortably? Just because you’re Examplely well-off doesn't mean yo</t>
  </si>
  <si>
    <t>Getting Started: Establishing a Example Safety Net | Example Business</t>
  </si>
  <si>
    <t>Most Example professionals suggest that you have three to six months' worth of living expenses in your cash reserve.</t>
  </si>
  <si>
    <t>Getting Started: Establishing a Example Safety Net</t>
  </si>
  <si>
    <t>How a Example Professional Can Guide You Through Choppy Seas | Example Business</t>
  </si>
  <si>
    <t>How a Example Professional Can Guide You Through Choppy Seas</t>
  </si>
  <si>
    <t>All information is believed to be from reliable sources; however LPL Example makes no representation as to its completeness or accuracy.</t>
  </si>
  <si>
    <t>Social Security and Medicare Face Example Challenges | Example Business</t>
  </si>
  <si>
    <t>Social Security and Medicare Face Example Challenges</t>
  </si>
  <si>
    <t>Something as important as Example literacy shouldn't be relegated to just one conversation.</t>
  </si>
  <si>
    <t>What Gen Xers, Millennials, and Baby Boomers Need to Know About Example Planning? | Example Business</t>
  </si>
  <si>
    <t>What Gen Xers, Millennials, and Baby Boomers Need to Know About Example Planning?</t>
  </si>
  <si>
    <t>Example Documents</t>
  </si>
  <si>
    <t>How Example Professionals are Compensated</t>
  </si>
  <si>
    <t>How Example Professionals Are Compensated</t>
  </si>
  <si>
    <t>Example Aid for Students 101 | Example Business</t>
  </si>
  <si>
    <t>Example Aid for Students 101</t>
  </si>
  <si>
    <t>It May Be Time for a Example Checkup</t>
  </si>
  <si>
    <t>The Example Literacy Crisis | Example Business</t>
  </si>
  <si>
    <t>The Example Literacy Crisis</t>
  </si>
  <si>
    <t>The Five Basics of Example Literacy | Example Business</t>
  </si>
  <si>
    <t>The Five Basics of Example Literacy</t>
  </si>
  <si>
    <t>Women and Example Strategies | Example Business</t>
  </si>
  <si>
    <t>Women and Example Strategies</t>
  </si>
  <si>
    <t>ExampleService</t>
  </si>
  <si>
    <t>Example advisor minneapolis</t>
  </si>
  <si>
    <t>best Example planning companies</t>
  </si>
  <si>
    <t>Example advisor mn</t>
  </si>
  <si>
    <t>planned Example services</t>
  </si>
  <si>
    <t>Example companies in minneapolis</t>
  </si>
  <si>
    <t>Example planner mn</t>
  </si>
  <si>
    <t>Example planning minneapolis</t>
  </si>
  <si>
    <t>minneapolis Example advisor</t>
  </si>
  <si>
    <t>Example advisor minnesota</t>
  </si>
  <si>
    <t>Example advisors mn</t>
  </si>
  <si>
    <t>top Example advisors in minnesota</t>
  </si>
  <si>
    <t>associated Example group minnetonka mn</t>
  </si>
  <si>
    <t>best Example advisors mn</t>
  </si>
  <si>
    <t>lpl Example aum</t>
  </si>
  <si>
    <t>lpl Example reviews and ratings</t>
  </si>
  <si>
    <t>top Example management companies</t>
  </si>
  <si>
    <t>Example firms in minneapolis</t>
  </si>
  <si>
    <t>Example firms minneapolis</t>
  </si>
  <si>
    <t>minneapolis Example firms</t>
  </si>
  <si>
    <t>Example-planning.com</t>
  </si>
  <si>
    <t>lpl Example logo</t>
  </si>
  <si>
    <t>wealth management vs Example advisor</t>
  </si>
  <si>
    <t>Example planning images</t>
  </si>
  <si>
    <t>lineweaver Example</t>
  </si>
  <si>
    <t>wealth management vs Example planning</t>
  </si>
  <si>
    <t>true north Example</t>
  </si>
  <si>
    <t>nicholas Example login</t>
  </si>
  <si>
    <t>Example planning vs wealth management</t>
  </si>
  <si>
    <t>lp Example inc</t>
  </si>
  <si>
    <t>when conducting a Example analysis for retirement planning, you should review</t>
  </si>
  <si>
    <t>capital alliance Example</t>
  </si>
  <si>
    <t>rogers Example</t>
  </si>
  <si>
    <t>rogers Example group</t>
  </si>
  <si>
    <t>freedom Example az</t>
  </si>
  <si>
    <t>price Example group wealth management</t>
  </si>
  <si>
    <t>nick Example</t>
  </si>
  <si>
    <t>Example-net.com</t>
  </si>
  <si>
    <t>Example services mn</t>
  </si>
  <si>
    <t>www.examplebusiness.com</t>
  </si>
  <si>
    <t>examplebusiness.com</t>
  </si>
  <si>
    <t>followsite.com</t>
  </si>
  <si>
    <t>similars.com</t>
  </si>
  <si>
    <t>zmaps.com</t>
  </si>
  <si>
    <t>get-insurance-quotes.com</t>
  </si>
  <si>
    <t>retirementplanning.com</t>
  </si>
  <si>
    <t>shitaraba.com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</si>
</sst>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mmm&quot; , &quot;yyyy"/>
    <numFmt numFmtId="165" formatCode="yyyy\-mm\-dd\ h:mm:ss"/>
    <numFmt numFmtId="166" formatCode="&quot;$&quot;#,##0.00"/>
  </numFmts>
  <fonts count="113" x14ac:knownFonts="1">
    <font>
      <sz val="10"/>
      <color rgb="FF000000"/>
      <name val="Arial"/>
      <scheme val="minor"/>
    </font>
    <font>
      <sz val="10"/>
      <color theme="1"/>
      <name val="Lato"/>
    </font>
    <font>
      <b/>
      <sz val="24"/>
      <color rgb="FFFFFFFF"/>
      <name val="Lato"/>
    </font>
    <font>
      <b/>
      <sz val="24"/>
      <color rgb="FF150044"/>
      <name val="Lato"/>
    </font>
    <font>
      <b/>
      <sz val="10"/>
      <color theme="1"/>
      <name val="Lato"/>
    </font>
    <font>
      <sz val="10"/>
      <name val="Arial"/>
    </font>
    <font>
      <b/>
      <sz val="18"/>
      <color rgb="FF150044"/>
      <name val="Lato"/>
    </font>
    <font>
      <b/>
      <sz val="11"/>
      <color rgb="FF150044"/>
      <name val="Lato"/>
    </font>
    <font>
      <b/>
      <sz val="11"/>
      <color rgb="FF26B8EF"/>
      <name val="Lato"/>
    </font>
    <font>
      <sz val="14"/>
      <color rgb="FF150044"/>
      <name val="Lato"/>
    </font>
    <font>
      <b/>
      <sz val="11"/>
      <color theme="6"/>
      <name val="Lato"/>
    </font>
    <font>
      <b/>
      <sz val="24"/>
      <color rgb="FF26B8EF"/>
      <name val="Lato"/>
    </font>
    <font>
      <b/>
      <sz val="14"/>
      <color rgb="FF150044"/>
      <name val="Lato"/>
    </font>
    <font>
      <b/>
      <sz val="14"/>
      <color rgb="FF26B8EF"/>
      <name val="Lato"/>
    </font>
    <font>
      <b/>
      <sz val="12"/>
      <color rgb="FF150044"/>
      <name val="Lato"/>
    </font>
    <font>
      <sz val="10"/>
      <color rgb="FFEA25A7"/>
      <name val="Lato"/>
    </font>
    <font>
      <b/>
      <u/>
      <sz val="12"/>
      <color rgb="FF150044"/>
      <name val="Lato"/>
    </font>
    <font>
      <b/>
      <u/>
      <sz val="12"/>
      <color rgb="FF150044"/>
      <name val="Lato"/>
    </font>
    <font>
      <b/>
      <sz val="10"/>
      <color rgb="FF150044"/>
      <name val="Lato"/>
    </font>
    <font>
      <b/>
      <sz val="12"/>
      <color rgb="FFA7B0BF"/>
      <name val="Lato"/>
    </font>
    <font>
      <b/>
      <sz val="12"/>
      <color theme="1"/>
      <name val="Lato"/>
    </font>
    <font>
      <b/>
      <sz val="10"/>
      <color rgb="FFA7B0BF"/>
      <name val="Lato"/>
    </font>
    <font>
      <b/>
      <sz val="12"/>
      <color rgb="FF434343"/>
      <name val="Lato"/>
    </font>
    <font>
      <b/>
      <sz val="12"/>
      <color rgb="FFEA25A7"/>
      <name val="Lato"/>
    </font>
    <font>
      <sz val="10"/>
      <color rgb="FF666666"/>
      <name val="Lato"/>
    </font>
    <font>
      <b/>
      <sz val="10"/>
      <color rgb="FFFFFFFF"/>
      <name val="Lato"/>
    </font>
    <font>
      <sz val="10"/>
      <color rgb="FFFFFFFF"/>
      <name val="Lato"/>
    </font>
    <font>
      <sz val="10"/>
      <color rgb="FF434343"/>
      <name val="Lato"/>
    </font>
    <font>
      <sz val="10"/>
      <color rgb="FFA7B0BF"/>
      <name val="Lato"/>
    </font>
    <font>
      <b/>
      <sz val="18"/>
      <color rgb="FFF9BD69"/>
      <name val="Lato"/>
    </font>
    <font>
      <sz val="10"/>
      <color rgb="FF150044"/>
      <name val="Lato"/>
    </font>
    <font>
      <b/>
      <sz val="18"/>
      <color theme="1"/>
      <name val="Lato"/>
    </font>
    <font>
      <b/>
      <sz val="18"/>
      <color rgb="FFFFFFFF"/>
      <name val="Lato"/>
    </font>
    <font>
      <sz val="18"/>
      <color theme="1"/>
      <name val="Lato"/>
    </font>
    <font>
      <sz val="12"/>
      <color rgb="FF150044"/>
      <name val="Lato"/>
    </font>
    <font>
      <sz val="12"/>
      <color rgb="FFA7B0BF"/>
      <name val="Lato"/>
    </font>
    <font>
      <b/>
      <sz val="10"/>
      <color theme="1"/>
      <name val="Arial"/>
      <scheme val="minor"/>
    </font>
    <font>
      <b/>
      <sz val="10"/>
      <color rgb="FFFFFFFF"/>
      <name val="Arial"/>
      <scheme val="minor"/>
    </font>
    <font>
      <sz val="10"/>
      <color theme="1"/>
      <name val="Arial"/>
      <scheme val="minor"/>
    </font>
    <font>
      <sz val="10"/>
      <color rgb="FFFFFFFF"/>
      <name val="Arial"/>
      <scheme val="minor"/>
    </font>
    <font>
      <u/>
      <sz val="10"/>
      <color rgb="FF0000FF"/>
      <name val="Arial"/>
    </font>
    <font>
      <u/>
      <sz val="10"/>
      <color rgb="FF0000FF"/>
      <name val="Arial"/>
    </font>
    <font>
      <u/>
      <sz val="10"/>
      <color rgb="FF0000FF"/>
      <name val="Arial"/>
    </font>
    <font>
      <b/>
      <sz val="12"/>
      <color rgb="FF26B8EF"/>
      <name val="Lato"/>
    </font>
    <font>
      <u/>
      <sz val="10"/>
      <color rgb="FF0563C1"/>
      <name val="Lato"/>
    </font>
    <font>
      <u/>
      <sz val="10"/>
      <color rgb="FF0000FF"/>
      <name val="Lato"/>
    </font>
    <font>
      <u/>
      <sz val="10"/>
      <color rgb="FF0563C1"/>
      <name val="Lato"/>
    </font>
    <font>
      <sz val="11"/>
      <color rgb="FF000000"/>
      <name val="Lato"/>
    </font>
    <font>
      <u/>
      <sz val="10"/>
      <color rgb="FF0000FF"/>
      <name val="Lato"/>
    </font>
    <font>
      <u/>
      <sz val="10"/>
      <color rgb="FF0000FF"/>
      <name val="Lato"/>
    </font>
    <font>
      <b/>
      <sz val="18"/>
      <color rgb="FF26B8EF"/>
      <name val="Lato"/>
    </font>
    <font>
      <b/>
      <u/>
      <sz val="12"/>
      <color rgb="FF26B8EF"/>
      <name val="Lato"/>
    </font>
    <font>
      <sz val="14"/>
      <color theme="1"/>
      <name val="Lato"/>
    </font>
    <font>
      <b/>
      <sz val="14"/>
      <color rgb="FFEA25A7"/>
      <name val="Lato"/>
    </font>
    <font>
      <sz val="10"/>
      <color rgb="FF150044"/>
      <name val="Lato"/>
    </font>
    <font>
      <sz val="10"/>
      <color theme="1"/>
      <name val="Lato"/>
    </font>
    <font>
      <u/>
      <sz val="10"/>
      <color rgb="FF0000FF"/>
      <name val="Lato"/>
    </font>
    <font>
      <u/>
      <sz val="10"/>
      <color rgb="FF0000FF"/>
      <name val="Lato"/>
    </font>
    <font>
      <u/>
      <sz val="10"/>
      <color rgb="FF0000FF"/>
      <name val="Lato"/>
    </font>
    <font>
      <u/>
      <sz val="10"/>
      <color rgb="FF0000FF"/>
      <name val="Lato"/>
    </font>
    <font>
      <u/>
      <sz val="10"/>
      <color rgb="FF0000FF"/>
      <name val="Lato"/>
    </font>
    <font>
      <u/>
      <sz val="10"/>
      <color rgb="FF0000FF"/>
      <name val="Lato"/>
    </font>
    <font>
      <u/>
      <sz val="10"/>
      <color rgb="FF0000FF"/>
      <name val="Lato"/>
    </font>
    <font>
      <u/>
      <sz val="10"/>
      <color rgb="FF150044"/>
      <name val="Lato"/>
    </font>
    <font>
      <u/>
      <sz val="10"/>
      <color rgb="FF150044"/>
      <name val="Lato"/>
    </font>
    <font>
      <u/>
      <sz val="10"/>
      <color rgb="FF150044"/>
      <name val="Lato"/>
    </font>
    <font>
      <sz val="18"/>
      <color rgb="FFFFFFFF"/>
      <name val="Lato"/>
    </font>
    <font>
      <b/>
      <u/>
      <sz val="10"/>
      <color theme="0"/>
      <name val="Lato"/>
    </font>
    <font>
      <b/>
      <sz val="10"/>
      <color rgb="FF26B8EF"/>
      <name val="Lato"/>
    </font>
    <font>
      <b/>
      <u/>
      <sz val="10"/>
      <color rgb="FFFFFFFF"/>
      <name val="Lato"/>
    </font>
    <font>
      <b/>
      <u/>
      <sz val="14"/>
      <color rgb="FF26B8EF"/>
      <name val="Lato"/>
    </font>
    <font>
      <b/>
      <u/>
      <sz val="14"/>
      <color rgb="FFFFFFFF"/>
      <name val="Lato"/>
    </font>
    <font>
      <sz val="14"/>
      <color rgb="FFFFFFFF"/>
      <name val="Lato"/>
    </font>
    <font>
      <sz val="12"/>
      <color rgb="FFFFFFFF"/>
      <name val="Lato"/>
    </font>
    <font>
      <b/>
      <sz val="12"/>
      <color rgb="FFFFFFFF"/>
      <name val="Lato"/>
    </font>
    <font>
      <sz val="12"/>
      <color theme="1"/>
      <name val="Lato"/>
    </font>
    <font>
      <b/>
      <sz val="10"/>
      <color rgb="FFEA25A7"/>
      <name val="Lato"/>
    </font>
    <font>
      <sz val="14"/>
      <color rgb="FF26B8EF"/>
      <name val="Lato"/>
    </font>
    <font>
      <b/>
      <sz val="12"/>
      <color rgb="FFFFFFFF"/>
      <name val="Arial"/>
    </font>
    <font>
      <u/>
      <sz val="12"/>
      <color rgb="FF1155CC"/>
      <name val="Lato"/>
    </font>
    <font>
      <sz val="12"/>
      <color theme="1"/>
      <name val="Arial"/>
    </font>
    <font>
      <u/>
      <sz val="12"/>
      <color rgb="FF1155CC"/>
      <name val="Lato"/>
    </font>
    <font>
      <u/>
      <sz val="12"/>
      <color rgb="FF1155CC"/>
      <name val="Lato"/>
    </font>
    <font>
      <sz val="12"/>
      <color rgb="FF26B8EF"/>
      <name val="Lato"/>
    </font>
    <font>
      <b/>
      <u/>
      <sz val="12"/>
      <color rgb="FF26B8EF"/>
      <name val="Lato"/>
    </font>
    <font>
      <u/>
      <sz val="12"/>
      <color rgb="FF26B8EF"/>
      <name val="Lato"/>
    </font>
    <font>
      <u/>
      <sz val="12"/>
      <color rgb="FF26B8EF"/>
      <name val="Lato"/>
    </font>
    <font>
      <b/>
      <sz val="12"/>
      <color rgb="FFF9BD69"/>
      <name val="Lato"/>
    </font>
    <font>
      <b/>
      <sz val="12"/>
      <color rgb="FFFF6D01"/>
      <name val="Lato"/>
    </font>
    <font>
      <b/>
      <sz val="12"/>
      <color rgb="FF57BB8A"/>
      <name val="Lato"/>
    </font>
    <font>
      <b/>
      <sz val="9"/>
      <color rgb="FFFFFFFF"/>
      <name val="Lato"/>
    </font>
    <font>
      <b/>
      <sz val="9"/>
      <color rgb="FF26B8EF"/>
      <name val="Lato"/>
    </font>
    <font>
      <b/>
      <u/>
      <sz val="9"/>
      <color rgb="FF26B8EF"/>
      <name val="Lato"/>
    </font>
    <font>
      <b/>
      <u/>
      <sz val="9"/>
      <color rgb="FF26B8EF"/>
      <name val="Lato"/>
    </font>
    <font>
      <b/>
      <sz val="9"/>
      <color rgb="FF000000"/>
      <name val="Lato"/>
    </font>
    <font>
      <sz val="9"/>
      <color theme="1"/>
      <name val="Lato"/>
    </font>
    <font>
      <u/>
      <sz val="9"/>
      <color rgb="FF0000FF"/>
      <name val="Lato"/>
    </font>
    <font>
      <u/>
      <sz val="9"/>
      <color rgb="FF0000FF"/>
      <name val="Lato"/>
    </font>
    <font>
      <b/>
      <sz val="10"/>
      <color rgb="FFFFFFFF"/>
      <name val="Lato"/>
    </font>
    <font>
      <b/>
      <sz val="10"/>
      <color rgb="FF000000"/>
      <name val="Lato"/>
    </font>
    <font>
      <b/>
      <u/>
      <sz val="10"/>
      <color rgb="FF26B8EF"/>
      <name val="Lato"/>
    </font>
    <font>
      <b/>
      <u/>
      <sz val="10"/>
      <color rgb="FF26B8EF"/>
      <name val="Lato"/>
    </font>
    <font>
      <u/>
      <sz val="10"/>
      <color rgb="FF0000FF"/>
      <name val="Lato"/>
    </font>
    <font>
      <u/>
      <sz val="10"/>
      <color rgb="FF0563C1"/>
      <name val="Lato"/>
    </font>
    <font>
      <sz val="10"/>
      <color theme="1"/>
      <name val="Calibri"/>
    </font>
    <font>
      <u/>
      <sz val="10"/>
      <color theme="10"/>
      <name val="Arial"/>
      <scheme val="minor"/>
    </font>
    <font>
      <b/>
      <sz val="11"/>
      <color rgb="FF26B8EF"/>
      <name val="Lato"/>
      <family val="2"/>
    </font>
    <font>
      <sz val="11"/>
      <name val="Arial"/>
      <family val="2"/>
    </font>
    <font>
      <b/>
      <sz val="11"/>
      <color rgb="FF150044"/>
      <name val="Lato"/>
      <family val="2"/>
    </font>
    <font>
      <sz val="10"/>
      <color theme="1"/>
      <name val="Lato"/>
      <family val="2"/>
    </font>
    <font>
      <b/>
      <u/>
      <sz val="11"/>
      <color rgb="FFEE0000"/>
      <name val="Lato"/>
      <family val="2"/>
    </font>
    <font>
      <sz val="10"/>
      <color rgb="FF150044"/>
      <name val="Lato"/>
      <family val="2"/>
    </font>
    <font>
      <sz val="12"/>
      <color rgb="FF150044"/>
      <name val="Lato"/>
      <family val="2"/>
    </font>
  </fonts>
  <fills count="11">
    <fill>
      <patternFill patternType="none"/>
    </fill>
    <fill>
      <patternFill patternType="gray125"/>
    </fill>
    <fill>
      <patternFill patternType="solid">
        <fgColor rgb="FF150044"/>
        <bgColor rgb="FF150044"/>
      </patternFill>
    </fill>
    <fill>
      <patternFill patternType="solid">
        <fgColor rgb="FFF3F3F3"/>
        <bgColor rgb="FFF3F3F3"/>
      </patternFill>
    </fill>
    <fill>
      <patternFill patternType="solid">
        <fgColor rgb="FFFFFFFF"/>
        <bgColor rgb="FFFFFFFF"/>
      </patternFill>
    </fill>
    <fill>
      <patternFill patternType="solid">
        <fgColor rgb="FF26B8EF"/>
        <bgColor rgb="FF26B8EF"/>
      </patternFill>
    </fill>
    <fill>
      <patternFill patternType="solid">
        <fgColor rgb="FFEA25A7"/>
        <bgColor rgb="FFEA25A7"/>
      </patternFill>
    </fill>
    <fill>
      <patternFill patternType="solid">
        <fgColor rgb="FF34069B"/>
        <bgColor rgb="FF34069B"/>
      </patternFill>
    </fill>
    <fill>
      <patternFill patternType="solid">
        <fgColor rgb="FFEFEFEF"/>
        <bgColor rgb="FFEFEFEF"/>
      </patternFill>
    </fill>
    <fill>
      <patternFill patternType="solid">
        <fgColor rgb="FFA7B0BF"/>
        <bgColor rgb="FFA7B0BF"/>
      </patternFill>
    </fill>
    <fill>
      <patternFill patternType="solid">
        <fgColor rgb="FF81D6F6"/>
        <bgColor rgb="FF81D6F6"/>
      </patternFill>
    </fill>
  </fills>
  <borders count="46">
    <border>
      <left/>
      <right/>
      <top/>
      <bottom/>
      <diagonal/>
    </border>
    <border>
      <left/>
      <right/>
      <top/>
      <bottom style="medium">
        <color rgb="FFEA25A7"/>
      </bottom>
      <diagonal/>
    </border>
    <border>
      <left/>
      <right/>
      <top style="medium">
        <color rgb="FFEA25A7"/>
      </top>
      <bottom/>
      <diagonal/>
    </border>
    <border>
      <left style="thick">
        <color rgb="FFEFEFEF"/>
      </left>
      <right/>
      <top style="thick">
        <color rgb="FFEFEFEF"/>
      </top>
      <bottom/>
      <diagonal/>
    </border>
    <border>
      <left/>
      <right/>
      <top style="thick">
        <color rgb="FFEFEFEF"/>
      </top>
      <bottom/>
      <diagonal/>
    </border>
    <border>
      <left/>
      <right style="thick">
        <color rgb="FFEFEFEF"/>
      </right>
      <top style="thick">
        <color rgb="FFEFEFEF"/>
      </top>
      <bottom/>
      <diagonal/>
    </border>
    <border>
      <left style="thick">
        <color rgb="FFEFEFEF"/>
      </left>
      <right/>
      <top/>
      <bottom style="thick">
        <color rgb="FFEFEFEF"/>
      </bottom>
      <diagonal/>
    </border>
    <border>
      <left/>
      <right/>
      <top/>
      <bottom style="thick">
        <color rgb="FFEFEFEF"/>
      </bottom>
      <diagonal/>
    </border>
    <border>
      <left/>
      <right style="thick">
        <color rgb="FFEFEFEF"/>
      </right>
      <top/>
      <bottom style="thick">
        <color rgb="FFEFEFEF"/>
      </bottom>
      <diagonal/>
    </border>
    <border>
      <left style="thick">
        <color rgb="FFEFEFEF"/>
      </left>
      <right/>
      <top/>
      <bottom/>
      <diagonal/>
    </border>
    <border>
      <left/>
      <right style="thick">
        <color rgb="FFEFEFEF"/>
      </right>
      <top/>
      <bottom/>
      <diagonal/>
    </border>
    <border>
      <left style="medium">
        <color rgb="FFEFEFEF"/>
      </left>
      <right/>
      <top style="medium">
        <color rgb="FFEFEFEF"/>
      </top>
      <bottom/>
      <diagonal/>
    </border>
    <border>
      <left/>
      <right/>
      <top style="medium">
        <color rgb="FFEFEFEF"/>
      </top>
      <bottom/>
      <diagonal/>
    </border>
    <border>
      <left/>
      <right style="medium">
        <color rgb="FFEFEFEF"/>
      </right>
      <top style="medium">
        <color rgb="FFEFEFEF"/>
      </top>
      <bottom/>
      <diagonal/>
    </border>
    <border>
      <left style="medium">
        <color rgb="FFEFEFEF"/>
      </left>
      <right/>
      <top/>
      <bottom/>
      <diagonal/>
    </border>
    <border>
      <left/>
      <right style="medium">
        <color rgb="FFEFEFEF"/>
      </right>
      <top/>
      <bottom/>
      <diagonal/>
    </border>
    <border>
      <left/>
      <right/>
      <top/>
      <bottom/>
      <diagonal/>
    </border>
    <border>
      <left style="medium">
        <color rgb="FFEFEFEF"/>
      </left>
      <right/>
      <top/>
      <bottom style="medium">
        <color rgb="FFEFEFEF"/>
      </bottom>
      <diagonal/>
    </border>
    <border>
      <left/>
      <right/>
      <top/>
      <bottom style="medium">
        <color rgb="FFEFEFEF"/>
      </bottom>
      <diagonal/>
    </border>
    <border>
      <left/>
      <right style="medium">
        <color rgb="FFEFEFEF"/>
      </right>
      <top/>
      <bottom style="medium">
        <color rgb="FFEFEFEF"/>
      </bottom>
      <diagonal/>
    </border>
    <border>
      <left style="thick">
        <color rgb="FFEFEFEF"/>
      </left>
      <right style="thick">
        <color rgb="FFEFEFEF"/>
      </right>
      <top style="thick">
        <color rgb="FFEFEFEF"/>
      </top>
      <bottom/>
      <diagonal/>
    </border>
    <border>
      <left style="thick">
        <color rgb="FFEFEFEF"/>
      </left>
      <right style="thick">
        <color rgb="FFEFEFEF"/>
      </right>
      <top/>
      <bottom style="thick">
        <color rgb="FFEFEFEF"/>
      </bottom>
      <diagonal/>
    </border>
    <border>
      <left style="medium">
        <color rgb="FFEFEFEF"/>
      </left>
      <right/>
      <top/>
      <bottom/>
      <diagonal/>
    </border>
    <border>
      <left style="medium">
        <color rgb="FFA7B0BF"/>
      </left>
      <right style="medium">
        <color rgb="FFA7B0BF"/>
      </right>
      <top style="medium">
        <color rgb="FFA7B0BF"/>
      </top>
      <bottom/>
      <diagonal/>
    </border>
    <border>
      <left style="medium">
        <color rgb="FFA7B0BF"/>
      </left>
      <right style="medium">
        <color rgb="FFA7B0BF"/>
      </right>
      <top/>
      <bottom style="medium">
        <color rgb="FFA7B0BF"/>
      </bottom>
      <diagonal/>
    </border>
    <border>
      <left style="medium">
        <color rgb="FFA7B0BF"/>
      </left>
      <right/>
      <top style="medium">
        <color rgb="FFA7B0BF"/>
      </top>
      <bottom style="medium">
        <color rgb="FFA7B0BF"/>
      </bottom>
      <diagonal/>
    </border>
    <border>
      <left/>
      <right/>
      <top style="medium">
        <color rgb="FFA7B0BF"/>
      </top>
      <bottom style="medium">
        <color rgb="FFA7B0BF"/>
      </bottom>
      <diagonal/>
    </border>
    <border>
      <left/>
      <right style="medium">
        <color rgb="FFA7B0BF"/>
      </right>
      <top style="medium">
        <color rgb="FFA7B0BF"/>
      </top>
      <bottom style="medium">
        <color rgb="FFA7B0BF"/>
      </bottom>
      <diagonal/>
    </border>
    <border>
      <left style="medium">
        <color rgb="FFA7B0BF"/>
      </left>
      <right/>
      <top/>
      <bottom/>
      <diagonal/>
    </border>
    <border>
      <left/>
      <right style="medium">
        <color rgb="FFA7B0BF"/>
      </right>
      <top/>
      <bottom/>
      <diagonal/>
    </border>
    <border>
      <left/>
      <right style="medium">
        <color rgb="FFA7B0BF"/>
      </right>
      <top style="medium">
        <color rgb="FFA7B0BF"/>
      </top>
      <bottom/>
      <diagonal/>
    </border>
    <border>
      <left style="medium">
        <color rgb="FFA7B0BF"/>
      </left>
      <right/>
      <top/>
      <bottom style="medium">
        <color rgb="FFA7B0BF"/>
      </bottom>
      <diagonal/>
    </border>
    <border>
      <left/>
      <right/>
      <top/>
      <bottom style="medium">
        <color rgb="FFA7B0BF"/>
      </bottom>
      <diagonal/>
    </border>
    <border>
      <left/>
      <right style="medium">
        <color rgb="FFA7B0BF"/>
      </right>
      <top/>
      <bottom style="medium">
        <color rgb="FFA7B0BF"/>
      </bottom>
      <diagonal/>
    </border>
    <border>
      <left style="medium">
        <color rgb="FFF3F3F3"/>
      </left>
      <right/>
      <top style="medium">
        <color rgb="FFF3F3F3"/>
      </top>
      <bottom/>
      <diagonal/>
    </border>
    <border>
      <left/>
      <right/>
      <top style="medium">
        <color rgb="FFF3F3F3"/>
      </top>
      <bottom/>
      <diagonal/>
    </border>
    <border>
      <left/>
      <right style="medium">
        <color rgb="FFF3F3F3"/>
      </right>
      <top style="medium">
        <color rgb="FFF3F3F3"/>
      </top>
      <bottom/>
      <diagonal/>
    </border>
    <border>
      <left style="medium">
        <color rgb="FFF3F3F3"/>
      </left>
      <right/>
      <top/>
      <bottom/>
      <diagonal/>
    </border>
    <border>
      <left/>
      <right style="medium">
        <color rgb="FFF3F3F3"/>
      </right>
      <top/>
      <bottom/>
      <diagonal/>
    </border>
    <border>
      <left style="medium">
        <color rgb="FFF3F3F3"/>
      </left>
      <right/>
      <top/>
      <bottom style="medium">
        <color rgb="FFF3F3F3"/>
      </bottom>
      <diagonal/>
    </border>
    <border>
      <left/>
      <right/>
      <top/>
      <bottom style="medium">
        <color rgb="FFF3F3F3"/>
      </bottom>
      <diagonal/>
    </border>
    <border>
      <left/>
      <right style="medium">
        <color rgb="FFF3F3F3"/>
      </right>
      <top/>
      <bottom style="medium">
        <color rgb="FFF3F3F3"/>
      </bottom>
      <diagonal/>
    </border>
    <border>
      <left style="medium">
        <color rgb="FFEA25A7"/>
      </left>
      <right/>
      <top style="medium">
        <color rgb="FFEA25A7"/>
      </top>
      <bottom/>
      <diagonal/>
    </border>
    <border>
      <left/>
      <right style="medium">
        <color rgb="FFEA25A7"/>
      </right>
      <top style="medium">
        <color rgb="FFEA25A7"/>
      </top>
      <bottom/>
      <diagonal/>
    </border>
    <border>
      <left style="medium">
        <color rgb="FFEA25A7"/>
      </left>
      <right/>
      <top/>
      <bottom/>
      <diagonal/>
    </border>
    <border>
      <left/>
      <right style="medium">
        <color rgb="FFEA25A7"/>
      </right>
      <top/>
      <bottom/>
      <diagonal/>
    </border>
  </borders>
  <cellStyleXfs count="2">
    <xf numFmtId="0" fontId="0" fillId="0" borderId="0"/>
    <xf numFmtId="0" fontId="105" fillId="0" borderId="0" applyNumberFormat="0" applyFill="0" applyBorder="0" applyAlignment="0" applyProtection="0"/>
  </cellStyleXfs>
  <cellXfs count="302">
    <xf numFmtId="0" fontId="0" fillId="0" borderId="0" xfId="0"/>
    <xf numFmtId="0" fontId="1" fillId="2" borderId="0" xfId="0" applyFont="1" applyFill="1"/>
    <xf numFmtId="0" fontId="1" fillId="2" borderId="1" xfId="0" applyFont="1" applyFill="1" applyBorder="1"/>
    <xf numFmtId="0" fontId="1" fillId="3" borderId="2" xfId="0" applyFont="1" applyFill="1" applyBorder="1"/>
    <xf numFmtId="0" fontId="3" fillId="3" borderId="2" xfId="0" applyFont="1" applyFill="1" applyBorder="1"/>
    <xf numFmtId="0" fontId="4" fillId="3" borderId="2" xfId="0" applyFont="1" applyFill="1" applyBorder="1" applyAlignment="1">
      <alignment horizontal="center"/>
    </xf>
    <xf numFmtId="0" fontId="1" fillId="3" borderId="0" xfId="0" applyFont="1" applyFill="1"/>
    <xf numFmtId="0" fontId="4" fillId="0" borderId="4" xfId="0" applyFont="1" applyBorder="1" applyAlignment="1">
      <alignment horizontal="center"/>
    </xf>
    <xf numFmtId="0" fontId="4" fillId="0" borderId="5" xfId="0" applyFont="1" applyBorder="1" applyAlignment="1">
      <alignment horizontal="center"/>
    </xf>
    <xf numFmtId="0" fontId="7" fillId="0" borderId="6" xfId="0" applyFont="1" applyBorder="1" applyAlignment="1">
      <alignment horizontal="right"/>
    </xf>
    <xf numFmtId="0" fontId="4" fillId="0" borderId="8" xfId="0" applyFont="1" applyBorder="1" applyAlignment="1">
      <alignment horizontal="center"/>
    </xf>
    <xf numFmtId="0" fontId="3" fillId="3" borderId="0" xfId="0" applyFont="1" applyFill="1"/>
    <xf numFmtId="0" fontId="4" fillId="3" borderId="0" xfId="0" applyFont="1" applyFill="1" applyAlignment="1">
      <alignment horizontal="center"/>
    </xf>
    <xf numFmtId="0" fontId="1" fillId="4" borderId="3" xfId="0" applyFont="1" applyFill="1" applyBorder="1"/>
    <xf numFmtId="0" fontId="3" fillId="4" borderId="4" xfId="0" applyFont="1" applyFill="1" applyBorder="1"/>
    <xf numFmtId="0" fontId="4" fillId="4" borderId="4" xfId="0" applyFont="1" applyFill="1" applyBorder="1" applyAlignment="1">
      <alignment horizontal="center"/>
    </xf>
    <xf numFmtId="0" fontId="1" fillId="4" borderId="4" xfId="0" applyFont="1" applyFill="1" applyBorder="1"/>
    <xf numFmtId="0" fontId="1" fillId="4" borderId="4" xfId="0" applyFont="1" applyFill="1" applyBorder="1" applyAlignment="1">
      <alignment horizontal="center"/>
    </xf>
    <xf numFmtId="0" fontId="1" fillId="4" borderId="5" xfId="0" applyFont="1" applyFill="1" applyBorder="1"/>
    <xf numFmtId="0" fontId="1" fillId="0" borderId="9" xfId="0" applyFont="1" applyBorder="1"/>
    <xf numFmtId="0" fontId="1" fillId="0" borderId="0" xfId="0" applyFont="1"/>
    <xf numFmtId="0" fontId="1" fillId="0" borderId="10" xfId="0" applyFont="1" applyBorder="1"/>
    <xf numFmtId="0" fontId="1" fillId="0" borderId="6" xfId="0" applyFont="1" applyBorder="1"/>
    <xf numFmtId="0" fontId="10" fillId="0" borderId="7" xfId="0" applyFont="1" applyBorder="1" applyAlignment="1">
      <alignment horizontal="right"/>
    </xf>
    <xf numFmtId="0" fontId="8" fillId="0" borderId="7" xfId="0" applyFont="1" applyBorder="1"/>
    <xf numFmtId="0" fontId="11" fillId="0" borderId="7" xfId="0" applyFont="1" applyBorder="1"/>
    <xf numFmtId="0" fontId="11" fillId="0" borderId="8" xfId="0" applyFont="1" applyBorder="1"/>
    <xf numFmtId="0" fontId="12" fillId="0" borderId="0" xfId="0" applyFont="1"/>
    <xf numFmtId="0" fontId="12" fillId="0" borderId="11" xfId="0" applyFont="1" applyBorder="1"/>
    <xf numFmtId="0" fontId="12" fillId="0" borderId="12" xfId="0" applyFont="1" applyBorder="1"/>
    <xf numFmtId="0" fontId="1" fillId="0" borderId="12" xfId="0" applyFont="1" applyBorder="1"/>
    <xf numFmtId="0" fontId="13" fillId="0" borderId="12" xfId="0" applyFont="1" applyBorder="1"/>
    <xf numFmtId="0" fontId="1" fillId="0" borderId="13" xfId="0" applyFont="1" applyBorder="1"/>
    <xf numFmtId="0" fontId="14" fillId="0" borderId="0" xfId="0" applyFont="1"/>
    <xf numFmtId="0" fontId="1" fillId="0" borderId="0" xfId="0" applyFont="1" applyAlignment="1">
      <alignment horizontal="center"/>
    </xf>
    <xf numFmtId="0" fontId="1" fillId="0" borderId="14" xfId="0" applyFont="1" applyBorder="1"/>
    <xf numFmtId="0" fontId="13" fillId="0" borderId="0" xfId="0" applyFont="1"/>
    <xf numFmtId="0" fontId="1" fillId="0" borderId="15" xfId="0" applyFont="1" applyBorder="1"/>
    <xf numFmtId="0" fontId="15" fillId="0" borderId="0" xfId="0" applyFont="1" applyAlignment="1">
      <alignment horizontal="right"/>
    </xf>
    <xf numFmtId="0" fontId="16" fillId="0" borderId="0" xfId="0" applyFont="1"/>
    <xf numFmtId="0" fontId="13" fillId="0" borderId="14" xfId="0" applyFont="1" applyBorder="1" applyAlignment="1">
      <alignment horizontal="center"/>
    </xf>
    <xf numFmtId="0" fontId="13" fillId="0" borderId="0" xfId="0" applyFont="1" applyAlignment="1">
      <alignment horizontal="left"/>
    </xf>
    <xf numFmtId="0" fontId="13" fillId="0" borderId="0" xfId="0" applyFont="1" applyAlignment="1">
      <alignment horizontal="center"/>
    </xf>
    <xf numFmtId="0" fontId="17" fillId="0" borderId="16" xfId="0" applyFont="1" applyBorder="1"/>
    <xf numFmtId="0" fontId="18" fillId="0" borderId="14" xfId="0" applyFont="1" applyBorder="1" applyAlignment="1">
      <alignment horizontal="center"/>
    </xf>
    <xf numFmtId="0" fontId="19" fillId="0" borderId="0" xfId="0" applyFont="1" applyAlignment="1">
      <alignment horizontal="center"/>
    </xf>
    <xf numFmtId="0" fontId="20" fillId="0" borderId="0" xfId="0" applyFont="1" applyAlignment="1">
      <alignment horizontal="center"/>
    </xf>
    <xf numFmtId="0" fontId="21" fillId="0" borderId="14" xfId="0" applyFont="1" applyBorder="1" applyAlignment="1">
      <alignment horizontal="center"/>
    </xf>
    <xf numFmtId="0" fontId="22" fillId="0" borderId="0" xfId="0" applyFont="1" applyAlignment="1">
      <alignment horizontal="center"/>
    </xf>
    <xf numFmtId="0" fontId="19" fillId="3" borderId="0" xfId="0" applyFont="1" applyFill="1" applyAlignment="1">
      <alignment horizontal="center"/>
    </xf>
    <xf numFmtId="0" fontId="23" fillId="3" borderId="0" xfId="0" applyFont="1" applyFill="1" applyAlignment="1">
      <alignment horizontal="center"/>
    </xf>
    <xf numFmtId="0" fontId="24" fillId="0" borderId="0" xfId="0" applyFont="1"/>
    <xf numFmtId="0" fontId="1" fillId="0" borderId="17" xfId="0" applyFont="1" applyBorder="1"/>
    <xf numFmtId="0" fontId="1" fillId="0" borderId="18" xfId="0" applyFont="1" applyBorder="1"/>
    <xf numFmtId="0" fontId="13" fillId="0" borderId="18" xfId="0" applyFont="1" applyBorder="1"/>
    <xf numFmtId="0" fontId="1" fillId="0" borderId="19" xfId="0" applyFont="1" applyBorder="1"/>
    <xf numFmtId="0" fontId="15" fillId="3" borderId="0" xfId="0" applyFont="1" applyFill="1" applyAlignment="1">
      <alignment horizontal="right"/>
    </xf>
    <xf numFmtId="0" fontId="24" fillId="3" borderId="0" xfId="0" applyFont="1" applyFill="1"/>
    <xf numFmtId="0" fontId="19" fillId="3" borderId="0" xfId="0" applyFont="1" applyFill="1"/>
    <xf numFmtId="0" fontId="1" fillId="0" borderId="3" xfId="0" applyFont="1" applyBorder="1"/>
    <xf numFmtId="0" fontId="1" fillId="0" borderId="4" xfId="0" applyFont="1" applyBorder="1"/>
    <xf numFmtId="0" fontId="1" fillId="0" borderId="5" xfId="0" applyFont="1" applyBorder="1"/>
    <xf numFmtId="0" fontId="25" fillId="0" borderId="9" xfId="0" applyFont="1" applyBorder="1"/>
    <xf numFmtId="0" fontId="6" fillId="0" borderId="1" xfId="0" applyFont="1" applyBorder="1"/>
    <xf numFmtId="0" fontId="26" fillId="0" borderId="1" xfId="0" applyFont="1" applyBorder="1"/>
    <xf numFmtId="0" fontId="1" fillId="0" borderId="1" xfId="0" applyFont="1" applyBorder="1"/>
    <xf numFmtId="0" fontId="20" fillId="0" borderId="0" xfId="0" applyFont="1"/>
    <xf numFmtId="0" fontId="1" fillId="0" borderId="0" xfId="0" applyFont="1" applyAlignment="1">
      <alignment vertical="top"/>
    </xf>
    <xf numFmtId="0" fontId="19" fillId="0" borderId="0" xfId="0" applyFont="1"/>
    <xf numFmtId="0" fontId="27" fillId="0" borderId="0" xfId="0" applyFont="1"/>
    <xf numFmtId="0" fontId="1" fillId="0" borderId="0" xfId="0" applyFont="1" applyAlignment="1">
      <alignment vertical="top" wrapText="1"/>
    </xf>
    <xf numFmtId="0" fontId="32" fillId="0" borderId="0" xfId="0" applyFont="1" applyAlignment="1">
      <alignment horizontal="center"/>
    </xf>
    <xf numFmtId="0" fontId="33" fillId="0" borderId="0" xfId="0" applyFont="1" applyAlignment="1">
      <alignment horizontal="center"/>
    </xf>
    <xf numFmtId="0" fontId="27" fillId="0" borderId="7" xfId="0" applyFont="1" applyBorder="1" applyAlignment="1">
      <alignment vertical="top" wrapText="1"/>
    </xf>
    <xf numFmtId="0" fontId="33" fillId="0" borderId="7" xfId="0" applyFont="1" applyBorder="1" applyAlignment="1">
      <alignment horizontal="center"/>
    </xf>
    <xf numFmtId="0" fontId="1" fillId="0" borderId="7" xfId="0" applyFont="1" applyBorder="1" applyAlignment="1">
      <alignment vertical="top" wrapText="1"/>
    </xf>
    <xf numFmtId="0" fontId="1" fillId="0" borderId="7" xfId="0" applyFont="1" applyBorder="1"/>
    <xf numFmtId="0" fontId="1" fillId="0" borderId="8" xfId="0" applyFont="1" applyBorder="1"/>
    <xf numFmtId="0" fontId="1" fillId="4" borderId="0" xfId="0" applyFont="1" applyFill="1"/>
    <xf numFmtId="0" fontId="1" fillId="4" borderId="0" xfId="0" applyFont="1" applyFill="1" applyAlignment="1">
      <alignment vertical="top"/>
    </xf>
    <xf numFmtId="0" fontId="27" fillId="0" borderId="7" xfId="0" applyFont="1" applyBorder="1"/>
    <xf numFmtId="0" fontId="1" fillId="4" borderId="7" xfId="0" applyFont="1" applyFill="1" applyBorder="1"/>
    <xf numFmtId="0" fontId="1" fillId="4" borderId="7" xfId="0" applyFont="1" applyFill="1" applyBorder="1" applyAlignment="1">
      <alignment vertical="top"/>
    </xf>
    <xf numFmtId="0" fontId="1" fillId="0" borderId="11" xfId="0" applyFont="1" applyBorder="1"/>
    <xf numFmtId="0" fontId="35" fillId="0" borderId="18" xfId="0" applyFont="1" applyBorder="1" applyAlignment="1">
      <alignment wrapText="1"/>
    </xf>
    <xf numFmtId="0" fontId="36" fillId="0" borderId="0" xfId="0" applyFont="1"/>
    <xf numFmtId="0" fontId="37" fillId="5" borderId="0" xfId="0" applyFont="1" applyFill="1"/>
    <xf numFmtId="0" fontId="38" fillId="0" borderId="0" xfId="0" applyFont="1"/>
    <xf numFmtId="0" fontId="38" fillId="0" borderId="0" xfId="0" applyFont="1" applyAlignment="1">
      <alignment horizontal="right"/>
    </xf>
    <xf numFmtId="0" fontId="37" fillId="6" borderId="0" xfId="0" applyFont="1" applyFill="1"/>
    <xf numFmtId="0" fontId="39" fillId="6" borderId="0" xfId="0" applyFont="1" applyFill="1"/>
    <xf numFmtId="0" fontId="40" fillId="0" borderId="0" xfId="0" applyFont="1"/>
    <xf numFmtId="0" fontId="41" fillId="0" borderId="0" xfId="0" applyFont="1"/>
    <xf numFmtId="165" fontId="38" fillId="0" borderId="0" xfId="0" applyNumberFormat="1" applyFont="1"/>
    <xf numFmtId="0" fontId="42" fillId="0" borderId="0" xfId="0" applyFont="1"/>
    <xf numFmtId="0" fontId="43" fillId="2" borderId="0" xfId="0" applyFont="1" applyFill="1" applyAlignment="1">
      <alignment horizontal="center" wrapText="1"/>
    </xf>
    <xf numFmtId="0" fontId="43" fillId="2" borderId="0" xfId="0" applyFont="1" applyFill="1" applyAlignment="1">
      <alignment horizontal="center"/>
    </xf>
    <xf numFmtId="0" fontId="43" fillId="7" borderId="0" xfId="0" applyFont="1" applyFill="1" applyAlignment="1">
      <alignment horizontal="center" wrapText="1"/>
    </xf>
    <xf numFmtId="0" fontId="43" fillId="7" borderId="0" xfId="0" applyFont="1" applyFill="1" applyAlignment="1">
      <alignment horizontal="center"/>
    </xf>
    <xf numFmtId="0" fontId="43" fillId="7" borderId="0" xfId="0" applyFont="1" applyFill="1" applyAlignment="1">
      <alignment horizontal="left"/>
    </xf>
    <xf numFmtId="0" fontId="44" fillId="0" borderId="0" xfId="0" applyFont="1"/>
    <xf numFmtId="0" fontId="38" fillId="0" borderId="0" xfId="0" applyFont="1" applyAlignment="1">
      <alignment horizontal="center"/>
    </xf>
    <xf numFmtId="0" fontId="1" fillId="0" borderId="0" xfId="0" applyFont="1" applyAlignment="1">
      <alignment horizontal="left"/>
    </xf>
    <xf numFmtId="0" fontId="1" fillId="0" borderId="0" xfId="0" applyFont="1" applyAlignment="1">
      <alignment horizontal="right"/>
    </xf>
    <xf numFmtId="0" fontId="45" fillId="0" borderId="0" xfId="0" applyFont="1"/>
    <xf numFmtId="10" fontId="43" fillId="7" borderId="0" xfId="0" applyNumberFormat="1" applyFont="1" applyFill="1" applyAlignment="1">
      <alignment horizontal="center"/>
    </xf>
    <xf numFmtId="0" fontId="46" fillId="0" borderId="0" xfId="0" applyFont="1"/>
    <xf numFmtId="10" fontId="1" fillId="0" borderId="0" xfId="0" applyNumberFormat="1" applyFont="1" applyAlignment="1">
      <alignment horizontal="center"/>
    </xf>
    <xf numFmtId="0" fontId="47" fillId="4" borderId="0" xfId="0" applyFont="1" applyFill="1" applyAlignment="1">
      <alignment horizontal="center"/>
    </xf>
    <xf numFmtId="0" fontId="48" fillId="0" borderId="0" xfId="0" applyFont="1"/>
    <xf numFmtId="0" fontId="49" fillId="0" borderId="0" xfId="0" applyFont="1"/>
    <xf numFmtId="0" fontId="50" fillId="2" borderId="0" xfId="0" applyFont="1" applyFill="1" applyAlignment="1">
      <alignment horizontal="center"/>
    </xf>
    <xf numFmtId="0" fontId="51" fillId="2" borderId="0" xfId="0" applyFont="1" applyFill="1" applyAlignment="1">
      <alignment horizontal="center"/>
    </xf>
    <xf numFmtId="0" fontId="52" fillId="4" borderId="0" xfId="0" applyFont="1" applyFill="1"/>
    <xf numFmtId="0" fontId="12" fillId="3" borderId="11" xfId="0" applyFont="1" applyFill="1" applyBorder="1" applyAlignment="1">
      <alignment horizontal="left"/>
    </xf>
    <xf numFmtId="0" fontId="53" fillId="3" borderId="12" xfId="0" applyFont="1" applyFill="1" applyBorder="1" applyAlignment="1">
      <alignment horizontal="center"/>
    </xf>
    <xf numFmtId="0" fontId="53" fillId="3" borderId="13" xfId="0" applyFont="1" applyFill="1" applyBorder="1" applyAlignment="1">
      <alignment horizontal="center"/>
    </xf>
    <xf numFmtId="0" fontId="34" fillId="4" borderId="14" xfId="0" applyFont="1" applyFill="1" applyBorder="1" applyAlignment="1">
      <alignment horizontal="right"/>
    </xf>
    <xf numFmtId="0" fontId="54" fillId="0" borderId="0" xfId="0" applyFont="1" applyAlignment="1">
      <alignment horizontal="center"/>
    </xf>
    <xf numFmtId="0" fontId="54" fillId="0" borderId="15" xfId="0" applyFont="1" applyBorder="1" applyAlignment="1">
      <alignment horizontal="center"/>
    </xf>
    <xf numFmtId="0" fontId="55" fillId="0" borderId="0" xfId="0" applyFont="1" applyAlignment="1">
      <alignment horizontal="center"/>
    </xf>
    <xf numFmtId="0" fontId="56" fillId="0" borderId="0" xfId="0" applyFont="1" applyAlignment="1">
      <alignment horizontal="center"/>
    </xf>
    <xf numFmtId="0" fontId="57" fillId="0" borderId="15" xfId="0" applyFont="1" applyBorder="1" applyAlignment="1">
      <alignment horizontal="center"/>
    </xf>
    <xf numFmtId="3" fontId="54" fillId="0" borderId="0" xfId="0" applyNumberFormat="1" applyFont="1" applyAlignment="1">
      <alignment horizontal="center"/>
    </xf>
    <xf numFmtId="0" fontId="34" fillId="4" borderId="17" xfId="0" applyFont="1" applyFill="1" applyBorder="1" applyAlignment="1">
      <alignment horizontal="right"/>
    </xf>
    <xf numFmtId="0" fontId="54" fillId="0" borderId="18" xfId="0" applyFont="1" applyBorder="1" applyAlignment="1">
      <alignment horizontal="center"/>
    </xf>
    <xf numFmtId="0" fontId="54" fillId="0" borderId="19" xfId="0" applyFont="1" applyBorder="1" applyAlignment="1">
      <alignment horizontal="center"/>
    </xf>
    <xf numFmtId="0" fontId="30" fillId="4" borderId="0" xfId="0" applyFont="1" applyFill="1"/>
    <xf numFmtId="0" fontId="12" fillId="8" borderId="14" xfId="0" applyFont="1" applyFill="1" applyBorder="1"/>
    <xf numFmtId="0" fontId="34" fillId="4" borderId="11" xfId="0" applyFont="1" applyFill="1" applyBorder="1" applyAlignment="1">
      <alignment horizontal="right"/>
    </xf>
    <xf numFmtId="0" fontId="54" fillId="0" borderId="12" xfId="0" applyFont="1" applyBorder="1" applyAlignment="1">
      <alignment horizontal="center"/>
    </xf>
    <xf numFmtId="0" fontId="54" fillId="0" borderId="13" xfId="0" applyFont="1" applyBorder="1" applyAlignment="1">
      <alignment horizontal="center"/>
    </xf>
    <xf numFmtId="3" fontId="54" fillId="0" borderId="15" xfId="0" applyNumberFormat="1" applyFont="1" applyBorder="1" applyAlignment="1">
      <alignment horizontal="center"/>
    </xf>
    <xf numFmtId="0" fontId="30" fillId="4" borderId="17" xfId="0" applyFont="1" applyFill="1" applyBorder="1"/>
    <xf numFmtId="0" fontId="12" fillId="4" borderId="0" xfId="0" applyFont="1" applyFill="1"/>
    <xf numFmtId="0" fontId="14" fillId="4" borderId="11" xfId="0" applyFont="1" applyFill="1" applyBorder="1" applyAlignment="1">
      <alignment horizontal="right"/>
    </xf>
    <xf numFmtId="0" fontId="14" fillId="4" borderId="14" xfId="0" applyFont="1" applyFill="1" applyBorder="1" applyAlignment="1">
      <alignment horizontal="right"/>
    </xf>
    <xf numFmtId="3" fontId="54" fillId="0" borderId="18" xfId="0" applyNumberFormat="1" applyFont="1" applyBorder="1" applyAlignment="1">
      <alignment horizontal="center"/>
    </xf>
    <xf numFmtId="3" fontId="54" fillId="0" borderId="19" xfId="0" applyNumberFormat="1" applyFont="1" applyBorder="1" applyAlignment="1">
      <alignment horizontal="center"/>
    </xf>
    <xf numFmtId="3" fontId="54" fillId="0" borderId="12" xfId="0" applyNumberFormat="1" applyFont="1" applyBorder="1" applyAlignment="1">
      <alignment horizontal="center"/>
    </xf>
    <xf numFmtId="3" fontId="54" fillId="0" borderId="13" xfId="0" applyNumberFormat="1" applyFont="1" applyBorder="1" applyAlignment="1">
      <alignment horizontal="center"/>
    </xf>
    <xf numFmtId="0" fontId="58" fillId="0" borderId="12" xfId="0" applyFont="1" applyBorder="1" applyAlignment="1">
      <alignment horizontal="center"/>
    </xf>
    <xf numFmtId="0" fontId="59" fillId="0" borderId="13" xfId="0" applyFont="1" applyBorder="1" applyAlignment="1">
      <alignment horizontal="center"/>
    </xf>
    <xf numFmtId="0" fontId="60" fillId="0" borderId="0" xfId="0" applyFont="1" applyAlignment="1">
      <alignment horizontal="center"/>
    </xf>
    <xf numFmtId="0" fontId="61" fillId="0" borderId="18" xfId="0" applyFont="1" applyBorder="1" applyAlignment="1">
      <alignment horizontal="center"/>
    </xf>
    <xf numFmtId="0" fontId="62" fillId="0" borderId="19" xfId="0" applyFont="1" applyBorder="1" applyAlignment="1">
      <alignment horizontal="center"/>
    </xf>
    <xf numFmtId="0" fontId="12" fillId="8" borderId="22" xfId="0" applyFont="1" applyFill="1" applyBorder="1"/>
    <xf numFmtId="0" fontId="63" fillId="0" borderId="0" xfId="0" applyFont="1" applyAlignment="1">
      <alignment horizontal="center"/>
    </xf>
    <xf numFmtId="0" fontId="64" fillId="0" borderId="0" xfId="0" applyFont="1" applyAlignment="1">
      <alignment horizontal="center"/>
    </xf>
    <xf numFmtId="0" fontId="65" fillId="0" borderId="15" xfId="0" applyFont="1" applyBorder="1" applyAlignment="1">
      <alignment horizontal="center"/>
    </xf>
    <xf numFmtId="0" fontId="55" fillId="0" borderId="15" xfId="0" applyFont="1" applyBorder="1" applyAlignment="1">
      <alignment horizontal="center"/>
    </xf>
    <xf numFmtId="9" fontId="54" fillId="0" borderId="0" xfId="0" applyNumberFormat="1" applyFont="1" applyAlignment="1">
      <alignment horizontal="center"/>
    </xf>
    <xf numFmtId="9" fontId="54" fillId="0" borderId="15" xfId="0" applyNumberFormat="1" applyFont="1" applyBorder="1" applyAlignment="1">
      <alignment horizontal="center"/>
    </xf>
    <xf numFmtId="9" fontId="54" fillId="0" borderId="18" xfId="0" applyNumberFormat="1" applyFont="1" applyBorder="1" applyAlignment="1">
      <alignment horizontal="center"/>
    </xf>
    <xf numFmtId="9" fontId="54" fillId="0" borderId="19" xfId="0" applyNumberFormat="1" applyFont="1" applyBorder="1" applyAlignment="1">
      <alignment horizontal="center"/>
    </xf>
    <xf numFmtId="0" fontId="66" fillId="2" borderId="0" xfId="0" applyFont="1" applyFill="1"/>
    <xf numFmtId="0" fontId="50" fillId="4" borderId="0" xfId="0" applyFont="1" applyFill="1"/>
    <xf numFmtId="0" fontId="68" fillId="4" borderId="0" xfId="0" applyFont="1" applyFill="1"/>
    <xf numFmtId="0" fontId="70" fillId="9" borderId="0" xfId="0" applyFont="1" applyFill="1" applyAlignment="1">
      <alignment horizontal="center"/>
    </xf>
    <xf numFmtId="0" fontId="71" fillId="9" borderId="0" xfId="0" applyFont="1" applyFill="1" applyAlignment="1">
      <alignment horizontal="center"/>
    </xf>
    <xf numFmtId="0" fontId="72" fillId="2" borderId="0" xfId="0" applyFont="1" applyFill="1"/>
    <xf numFmtId="0" fontId="52" fillId="0" borderId="0" xfId="0" applyFont="1"/>
    <xf numFmtId="0" fontId="13" fillId="2" borderId="1" xfId="0" applyFont="1" applyFill="1" applyBorder="1"/>
    <xf numFmtId="0" fontId="72" fillId="2" borderId="1" xfId="0" applyFont="1" applyFill="1" applyBorder="1"/>
    <xf numFmtId="0" fontId="72" fillId="4" borderId="1" xfId="0" applyFont="1" applyFill="1" applyBorder="1"/>
    <xf numFmtId="0" fontId="72" fillId="4" borderId="0" xfId="0" applyFont="1" applyFill="1"/>
    <xf numFmtId="0" fontId="73" fillId="2" borderId="0" xfId="0" applyFont="1" applyFill="1"/>
    <xf numFmtId="0" fontId="74" fillId="2" borderId="0" xfId="0" applyFont="1" applyFill="1" applyAlignment="1">
      <alignment horizontal="right"/>
    </xf>
    <xf numFmtId="0" fontId="26" fillId="2" borderId="0" xfId="0" applyFont="1" applyFill="1"/>
    <xf numFmtId="0" fontId="75" fillId="0" borderId="0" xfId="0" applyFont="1" applyAlignment="1">
      <alignment wrapText="1"/>
    </xf>
    <xf numFmtId="0" fontId="74" fillId="2" borderId="0" xfId="0" applyFont="1" applyFill="1"/>
    <xf numFmtId="0" fontId="25" fillId="2" borderId="0" xfId="0" applyFont="1" applyFill="1"/>
    <xf numFmtId="0" fontId="4" fillId="0" borderId="0" xfId="0" applyFont="1"/>
    <xf numFmtId="0" fontId="76" fillId="0" borderId="0" xfId="0" applyFont="1"/>
    <xf numFmtId="0" fontId="28" fillId="0" borderId="0" xfId="0" applyFont="1"/>
    <xf numFmtId="0" fontId="75" fillId="0" borderId="0" xfId="0" applyFont="1"/>
    <xf numFmtId="0" fontId="35" fillId="0" borderId="0" xfId="0" applyFont="1"/>
    <xf numFmtId="0" fontId="14" fillId="0" borderId="0" xfId="0" applyFont="1" applyAlignment="1">
      <alignment horizontal="left" wrapText="1"/>
    </xf>
    <xf numFmtId="0" fontId="1" fillId="0" borderId="0" xfId="0" applyFont="1" applyAlignment="1">
      <alignment wrapText="1"/>
    </xf>
    <xf numFmtId="0" fontId="13" fillId="2" borderId="0" xfId="0" applyFont="1" applyFill="1"/>
    <xf numFmtId="0" fontId="77" fillId="2" borderId="1" xfId="0" applyFont="1" applyFill="1" applyBorder="1"/>
    <xf numFmtId="0" fontId="77" fillId="0" borderId="1" xfId="0" applyFont="1" applyBorder="1"/>
    <xf numFmtId="0" fontId="77" fillId="0" borderId="0" xfId="0" applyFont="1"/>
    <xf numFmtId="0" fontId="20" fillId="0" borderId="0" xfId="0" applyFont="1" applyAlignment="1">
      <alignment horizontal="right" wrapText="1"/>
    </xf>
    <xf numFmtId="0" fontId="30" fillId="0" borderId="0" xfId="0" applyFont="1"/>
    <xf numFmtId="0" fontId="74" fillId="9" borderId="23" xfId="0" applyFont="1" applyFill="1" applyBorder="1" applyAlignment="1">
      <alignment horizontal="center" wrapText="1"/>
    </xf>
    <xf numFmtId="0" fontId="14" fillId="0" borderId="0" xfId="0" applyFont="1" applyAlignment="1">
      <alignment horizontal="center"/>
    </xf>
    <xf numFmtId="0" fontId="74" fillId="9" borderId="23" xfId="0" applyFont="1" applyFill="1" applyBorder="1" applyAlignment="1">
      <alignment horizontal="center"/>
    </xf>
    <xf numFmtId="0" fontId="75" fillId="0" borderId="24" xfId="0" applyFont="1" applyBorder="1" applyAlignment="1">
      <alignment horizontal="center"/>
    </xf>
    <xf numFmtId="0" fontId="14" fillId="0" borderId="0" xfId="0" applyFont="1" applyAlignment="1">
      <alignment horizontal="right"/>
    </xf>
    <xf numFmtId="0" fontId="23" fillId="0" borderId="0" xfId="0" applyFont="1" applyAlignment="1">
      <alignment horizontal="left"/>
    </xf>
    <xf numFmtId="0" fontId="15" fillId="0" borderId="0" xfId="0" applyFont="1"/>
    <xf numFmtId="0" fontId="74" fillId="9" borderId="25" xfId="0" applyFont="1" applyFill="1" applyBorder="1" applyAlignment="1">
      <alignment wrapText="1"/>
    </xf>
    <xf numFmtId="0" fontId="78" fillId="9" borderId="26" xfId="0" applyFont="1" applyFill="1" applyBorder="1"/>
    <xf numFmtId="0" fontId="74" fillId="9" borderId="27" xfId="0" applyFont="1" applyFill="1" applyBorder="1" applyAlignment="1">
      <alignment horizontal="center"/>
    </xf>
    <xf numFmtId="0" fontId="79" fillId="0" borderId="28" xfId="0" applyFont="1" applyBorder="1" applyAlignment="1">
      <alignment wrapText="1"/>
    </xf>
    <xf numFmtId="0" fontId="80" fillId="0" borderId="0" xfId="0" applyFont="1"/>
    <xf numFmtId="0" fontId="75" fillId="0" borderId="29" xfId="0" applyFont="1" applyBorder="1" applyAlignment="1">
      <alignment horizontal="center"/>
    </xf>
    <xf numFmtId="0" fontId="81" fillId="0" borderId="28" xfId="0" applyFont="1" applyBorder="1" applyAlignment="1">
      <alignment wrapText="1"/>
    </xf>
    <xf numFmtId="0" fontId="75" fillId="5" borderId="30" xfId="0" applyFont="1" applyFill="1" applyBorder="1" applyAlignment="1">
      <alignment horizontal="center"/>
    </xf>
    <xf numFmtId="0" fontId="75" fillId="10" borderId="29" xfId="0" applyFont="1" applyFill="1" applyBorder="1" applyAlignment="1">
      <alignment horizontal="center"/>
    </xf>
    <xf numFmtId="0" fontId="82" fillId="0" borderId="31" xfId="0" applyFont="1" applyBorder="1" applyAlignment="1">
      <alignment wrapText="1"/>
    </xf>
    <xf numFmtId="0" fontId="80" fillId="0" borderId="32" xfId="0" applyFont="1" applyBorder="1"/>
    <xf numFmtId="0" fontId="75" fillId="0" borderId="33" xfId="0" applyFont="1" applyBorder="1" applyAlignment="1">
      <alignment horizontal="center"/>
    </xf>
    <xf numFmtId="0" fontId="75" fillId="4" borderId="33" xfId="0" applyFont="1" applyFill="1" applyBorder="1" applyAlignment="1">
      <alignment horizontal="center"/>
    </xf>
    <xf numFmtId="1" fontId="26" fillId="2" borderId="0" xfId="0" applyNumberFormat="1" applyFont="1" applyFill="1"/>
    <xf numFmtId="1" fontId="1" fillId="0" borderId="0" xfId="0" applyNumberFormat="1" applyFont="1"/>
    <xf numFmtId="1" fontId="75" fillId="0" borderId="24" xfId="0" applyNumberFormat="1" applyFont="1" applyBorder="1" applyAlignment="1">
      <alignment horizontal="center"/>
    </xf>
    <xf numFmtId="0" fontId="50" fillId="0" borderId="0" xfId="0" applyFont="1"/>
    <xf numFmtId="0" fontId="1" fillId="0" borderId="34" xfId="0" applyFont="1" applyBorder="1"/>
    <xf numFmtId="0" fontId="50" fillId="0" borderId="35" xfId="0" applyFont="1" applyBorder="1"/>
    <xf numFmtId="0" fontId="1" fillId="0" borderId="35" xfId="0" applyFont="1" applyBorder="1"/>
    <xf numFmtId="0" fontId="1" fillId="0" borderId="36" xfId="0" applyFont="1" applyBorder="1"/>
    <xf numFmtId="0" fontId="1" fillId="0" borderId="37" xfId="0" applyFont="1" applyBorder="1"/>
    <xf numFmtId="0" fontId="1" fillId="0" borderId="38" xfId="0" applyFont="1" applyBorder="1"/>
    <xf numFmtId="0" fontId="26" fillId="0" borderId="0" xfId="0" applyFont="1"/>
    <xf numFmtId="0" fontId="83" fillId="2" borderId="0" xfId="0" applyFont="1" applyFill="1"/>
    <xf numFmtId="0" fontId="84" fillId="2" borderId="0" xfId="0" applyFont="1" applyFill="1"/>
    <xf numFmtId="0" fontId="12" fillId="0" borderId="1" xfId="0" applyFont="1" applyBorder="1"/>
    <xf numFmtId="0" fontId="43" fillId="2" borderId="0" xfId="0" applyFont="1" applyFill="1"/>
    <xf numFmtId="0" fontId="75" fillId="0" borderId="37" xfId="0" applyFont="1" applyBorder="1"/>
    <xf numFmtId="0" fontId="52" fillId="0" borderId="24" xfId="0" applyFont="1" applyBorder="1" applyAlignment="1">
      <alignment horizontal="center"/>
    </xf>
    <xf numFmtId="0" fontId="19" fillId="0" borderId="0" xfId="0" applyFont="1" applyAlignment="1">
      <alignment horizontal="right"/>
    </xf>
    <xf numFmtId="0" fontId="34" fillId="0" borderId="0" xfId="0" applyFont="1"/>
    <xf numFmtId="0" fontId="87" fillId="3" borderId="24" xfId="0" applyFont="1" applyFill="1" applyBorder="1" applyAlignment="1">
      <alignment horizontal="center"/>
    </xf>
    <xf numFmtId="0" fontId="88" fillId="0" borderId="24" xfId="0" applyFont="1" applyBorder="1" applyAlignment="1">
      <alignment horizontal="center"/>
    </xf>
    <xf numFmtId="0" fontId="89" fillId="3" borderId="24" xfId="0" applyFont="1" applyFill="1" applyBorder="1" applyAlignment="1">
      <alignment horizontal="center"/>
    </xf>
    <xf numFmtId="0" fontId="1" fillId="0" borderId="39" xfId="0" applyFont="1" applyBorder="1"/>
    <xf numFmtId="0" fontId="1" fillId="0" borderId="40" xfId="0" applyFont="1" applyBorder="1"/>
    <xf numFmtId="0" fontId="1" fillId="0" borderId="41" xfId="0" applyFont="1" applyBorder="1"/>
    <xf numFmtId="0" fontId="90" fillId="2" borderId="0" xfId="0" applyFont="1" applyFill="1" applyAlignment="1">
      <alignment horizontal="center" wrapText="1"/>
    </xf>
    <xf numFmtId="3" fontId="90" fillId="2" borderId="0" xfId="0" applyNumberFormat="1" applyFont="1" applyFill="1" applyAlignment="1">
      <alignment horizontal="center"/>
    </xf>
    <xf numFmtId="3" fontId="91" fillId="2" borderId="0" xfId="0" applyNumberFormat="1" applyFont="1" applyFill="1" applyAlignment="1">
      <alignment horizontal="center" wrapText="1"/>
    </xf>
    <xf numFmtId="3" fontId="91" fillId="2" borderId="0" xfId="0" applyNumberFormat="1" applyFont="1" applyFill="1" applyAlignment="1">
      <alignment horizontal="left" wrapText="1"/>
    </xf>
    <xf numFmtId="0" fontId="94" fillId="2" borderId="0" xfId="0" applyFont="1" applyFill="1" applyAlignment="1">
      <alignment horizontal="center" wrapText="1"/>
    </xf>
    <xf numFmtId="3" fontId="94" fillId="2" borderId="0" xfId="0" applyNumberFormat="1" applyFont="1" applyFill="1" applyAlignment="1">
      <alignment horizontal="center"/>
    </xf>
    <xf numFmtId="3" fontId="90" fillId="2" borderId="0" xfId="0" applyNumberFormat="1" applyFont="1" applyFill="1" applyAlignment="1">
      <alignment horizontal="center" wrapText="1"/>
    </xf>
    <xf numFmtId="3" fontId="90" fillId="2" borderId="44" xfId="0" applyNumberFormat="1" applyFont="1" applyFill="1" applyBorder="1" applyAlignment="1">
      <alignment horizontal="center" wrapText="1"/>
    </xf>
    <xf numFmtId="3" fontId="90" fillId="2" borderId="45" xfId="0" applyNumberFormat="1" applyFont="1" applyFill="1" applyBorder="1" applyAlignment="1">
      <alignment horizontal="center"/>
    </xf>
    <xf numFmtId="0" fontId="95" fillId="0" borderId="0" xfId="0" applyFont="1"/>
    <xf numFmtId="0" fontId="95" fillId="0" borderId="0" xfId="0" applyFont="1" applyAlignment="1">
      <alignment horizontal="center"/>
    </xf>
    <xf numFmtId="0" fontId="95" fillId="0" borderId="44" xfId="0" applyFont="1" applyBorder="1" applyAlignment="1">
      <alignment horizontal="center"/>
    </xf>
    <xf numFmtId="0" fontId="95" fillId="0" borderId="45" xfId="0" applyFont="1" applyBorder="1" applyAlignment="1">
      <alignment horizontal="left"/>
    </xf>
    <xf numFmtId="0" fontId="96" fillId="0" borderId="45" xfId="0" applyFont="1" applyBorder="1" applyAlignment="1">
      <alignment horizontal="left"/>
    </xf>
    <xf numFmtId="0" fontId="97" fillId="0" borderId="45" xfId="0" applyFont="1" applyBorder="1" applyAlignment="1">
      <alignment horizontal="left"/>
    </xf>
    <xf numFmtId="0" fontId="98" fillId="2" borderId="0" xfId="0" applyFont="1" applyFill="1" applyAlignment="1">
      <alignment horizontal="center" wrapText="1"/>
    </xf>
    <xf numFmtId="3" fontId="98" fillId="2" borderId="0" xfId="0" applyNumberFormat="1" applyFont="1" applyFill="1" applyAlignment="1">
      <alignment horizontal="center"/>
    </xf>
    <xf numFmtId="3" fontId="98" fillId="2" borderId="0" xfId="0" applyNumberFormat="1" applyFont="1" applyFill="1" applyAlignment="1">
      <alignment horizontal="center" wrapText="1"/>
    </xf>
    <xf numFmtId="3" fontId="99" fillId="2" borderId="0" xfId="0" applyNumberFormat="1" applyFont="1" applyFill="1" applyAlignment="1">
      <alignment horizontal="center"/>
    </xf>
    <xf numFmtId="3" fontId="100" fillId="2" borderId="0" xfId="0" applyNumberFormat="1" applyFont="1" applyFill="1" applyAlignment="1">
      <alignment horizontal="center" wrapText="1"/>
    </xf>
    <xf numFmtId="3" fontId="101" fillId="2" borderId="0" xfId="0" applyNumberFormat="1" applyFont="1" applyFill="1" applyAlignment="1">
      <alignment horizontal="center" wrapText="1"/>
    </xf>
    <xf numFmtId="0" fontId="55" fillId="0" borderId="0" xfId="0" applyFont="1"/>
    <xf numFmtId="166" fontId="43" fillId="2" borderId="0" xfId="0" applyNumberFormat="1" applyFont="1" applyFill="1" applyAlignment="1">
      <alignment horizontal="center" wrapText="1"/>
    </xf>
    <xf numFmtId="0" fontId="74" fillId="6" borderId="0" xfId="0" applyFont="1" applyFill="1" applyAlignment="1">
      <alignment horizontal="center" wrapText="1"/>
    </xf>
    <xf numFmtId="166" fontId="1" fillId="0" borderId="0" xfId="0" applyNumberFormat="1" applyFont="1" applyAlignment="1">
      <alignment horizontal="center"/>
    </xf>
    <xf numFmtId="0" fontId="102" fillId="0" borderId="0" xfId="0" applyFont="1"/>
    <xf numFmtId="166" fontId="43" fillId="2" borderId="0" xfId="0" applyNumberFormat="1" applyFont="1" applyFill="1" applyAlignment="1">
      <alignment horizontal="center"/>
    </xf>
    <xf numFmtId="0" fontId="103" fillId="0" borderId="0" xfId="0" applyFont="1"/>
    <xf numFmtId="0" fontId="104" fillId="0" borderId="0" xfId="0" applyFont="1"/>
    <xf numFmtId="0" fontId="28" fillId="0" borderId="0" xfId="0" applyFont="1" applyAlignment="1">
      <alignment vertical="top" wrapText="1"/>
    </xf>
    <xf numFmtId="0" fontId="0" fillId="0" borderId="0" xfId="0"/>
    <xf numFmtId="0" fontId="9" fillId="0" borderId="0" xfId="0" applyFont="1"/>
    <xf numFmtId="0" fontId="12" fillId="4" borderId="1" xfId="0" applyFont="1" applyFill="1" applyBorder="1" applyAlignment="1">
      <alignment horizontal="left"/>
    </xf>
    <xf numFmtId="0" fontId="5" fillId="0" borderId="1" xfId="0" applyFont="1" applyBorder="1"/>
    <xf numFmtId="0" fontId="2" fillId="2" borderId="0" xfId="0" applyFont="1" applyFill="1" applyAlignment="1">
      <alignment horizontal="left"/>
    </xf>
    <xf numFmtId="0" fontId="1" fillId="3" borderId="2" xfId="0" applyFont="1" applyFill="1" applyBorder="1" applyAlignment="1">
      <alignment horizontal="center"/>
    </xf>
    <xf numFmtId="0" fontId="5" fillId="0" borderId="2" xfId="0" applyFont="1" applyBorder="1"/>
    <xf numFmtId="0" fontId="6" fillId="3" borderId="0" xfId="0" applyFont="1" applyFill="1" applyAlignment="1">
      <alignment horizontal="left"/>
    </xf>
    <xf numFmtId="0" fontId="5" fillId="0" borderId="7" xfId="0" applyFont="1" applyBorder="1"/>
    <xf numFmtId="0" fontId="9" fillId="0" borderId="0" xfId="0" applyFont="1" applyAlignment="1">
      <alignment horizontal="left" wrapText="1"/>
    </xf>
    <xf numFmtId="0" fontId="13" fillId="0" borderId="0" xfId="0" applyFont="1" applyAlignment="1">
      <alignment horizontal="center"/>
    </xf>
    <xf numFmtId="0" fontId="20" fillId="0" borderId="0" xfId="0" applyFont="1" applyAlignment="1">
      <alignment horizontal="center"/>
    </xf>
    <xf numFmtId="0" fontId="23" fillId="3" borderId="0" xfId="0" applyFont="1" applyFill="1" applyAlignment="1">
      <alignment horizontal="center"/>
    </xf>
    <xf numFmtId="0" fontId="12" fillId="0" borderId="1" xfId="0" applyFont="1" applyBorder="1" applyAlignment="1">
      <alignment horizontal="left"/>
    </xf>
    <xf numFmtId="0" fontId="29" fillId="3" borderId="20" xfId="0" applyFont="1" applyFill="1" applyBorder="1" applyAlignment="1">
      <alignment horizontal="center" vertical="center"/>
    </xf>
    <xf numFmtId="0" fontId="5" fillId="0" borderId="21" xfId="0" applyFont="1" applyBorder="1"/>
    <xf numFmtId="0" fontId="30" fillId="0" borderId="0" xfId="0" applyFont="1" applyAlignment="1">
      <alignment vertical="top" wrapText="1"/>
    </xf>
    <xf numFmtId="0" fontId="14" fillId="0" borderId="0" xfId="0" applyFont="1"/>
    <xf numFmtId="0" fontId="31" fillId="3" borderId="20" xfId="0" applyFont="1" applyFill="1" applyBorder="1" applyAlignment="1">
      <alignment horizontal="center" vertical="center"/>
    </xf>
    <xf numFmtId="0" fontId="19" fillId="0" borderId="7" xfId="0" applyFont="1" applyBorder="1"/>
    <xf numFmtId="0" fontId="34" fillId="0" borderId="0" xfId="0" applyFont="1" applyAlignment="1">
      <alignment vertical="top" wrapText="1"/>
    </xf>
    <xf numFmtId="0" fontId="43" fillId="2" borderId="0" xfId="0" applyFont="1" applyFill="1" applyAlignment="1">
      <alignment horizontal="center" wrapText="1"/>
    </xf>
    <xf numFmtId="0" fontId="43" fillId="2" borderId="0" xfId="0" applyFont="1" applyFill="1" applyAlignment="1">
      <alignment horizontal="center"/>
    </xf>
    <xf numFmtId="0" fontId="66" fillId="2" borderId="0" xfId="0" applyFont="1" applyFill="1"/>
    <xf numFmtId="0" fontId="67" fillId="9" borderId="0" xfId="0" applyFont="1" applyFill="1" applyAlignment="1">
      <alignment horizontal="center"/>
    </xf>
    <xf numFmtId="0" fontId="69" fillId="9" borderId="0" xfId="0" applyFont="1" applyFill="1" applyAlignment="1">
      <alignment horizontal="center"/>
    </xf>
    <xf numFmtId="0" fontId="23" fillId="0" borderId="0" xfId="0" applyFont="1" applyAlignment="1">
      <alignment wrapText="1"/>
    </xf>
    <xf numFmtId="0" fontId="35" fillId="0" borderId="0" xfId="0" applyFont="1" applyAlignment="1">
      <alignment wrapText="1"/>
    </xf>
    <xf numFmtId="0" fontId="34" fillId="0" borderId="0" xfId="0" applyFont="1" applyAlignment="1">
      <alignment wrapText="1"/>
    </xf>
    <xf numFmtId="0" fontId="85" fillId="3" borderId="0" xfId="0" applyFont="1" applyFill="1"/>
    <xf numFmtId="0" fontId="86" fillId="3" borderId="0" xfId="0" applyFont="1" applyFill="1"/>
    <xf numFmtId="3" fontId="92" fillId="2" borderId="42" xfId="0" applyNumberFormat="1" applyFont="1" applyFill="1" applyBorder="1" applyAlignment="1">
      <alignment horizontal="center" wrapText="1"/>
    </xf>
    <xf numFmtId="0" fontId="5" fillId="0" borderId="43" xfId="0" applyFont="1" applyBorder="1"/>
    <xf numFmtId="3" fontId="93" fillId="2" borderId="42" xfId="0" applyNumberFormat="1" applyFont="1" applyFill="1" applyBorder="1" applyAlignment="1">
      <alignment horizontal="center" wrapText="1"/>
    </xf>
    <xf numFmtId="164" fontId="106" fillId="0" borderId="7" xfId="0" applyNumberFormat="1" applyFont="1" applyBorder="1" applyAlignment="1">
      <alignment horizontal="left"/>
    </xf>
    <xf numFmtId="0" fontId="107" fillId="0" borderId="7" xfId="0" applyFont="1" applyBorder="1"/>
    <xf numFmtId="0" fontId="108" fillId="0" borderId="3" xfId="0" applyFont="1" applyBorder="1" applyAlignment="1">
      <alignment horizontal="right"/>
    </xf>
    <xf numFmtId="0" fontId="110" fillId="0" borderId="4" xfId="1" applyFont="1" applyBorder="1" applyAlignment="1">
      <alignment horizontal="left"/>
    </xf>
    <xf numFmtId="0" fontId="105" fillId="0" borderId="0" xfId="1"/>
    <xf numFmtId="0" fontId="109" fillId="0" borderId="0" xfId="0" applyFont="1"/>
    <xf numFmtId="0" fontId="111" fillId="0" borderId="0" xfId="0" applyFont="1" applyAlignment="1">
      <alignment vertical="top" wrapText="1"/>
    </xf>
    <xf numFmtId="0" fontId="112" fillId="0" borderId="0" xfId="0" applyFont="1" applyAlignment="1">
      <alignment vertical="top" wrapText="1"/>
    </xf>
  </cellXfs>
  <cellStyles count="2">
    <cellStyle name="Hyperlink" xfId="1" builtinId="8"/>
    <cellStyle name="Normal" xfId="0" builtinId="0"/>
  </cellStyles>
  <dxfs count="45">
    <dxf>
      <fill>
        <patternFill patternType="solid">
          <fgColor rgb="FFB7E1CD"/>
          <bgColor rgb="FFB7E1CD"/>
        </patternFill>
      </fill>
    </dxf>
    <dxf>
      <fill>
        <patternFill patternType="solid">
          <fgColor rgb="FFFCE8B2"/>
          <bgColor rgb="FFFCE8B2"/>
        </patternFill>
      </fill>
    </dxf>
    <dxf>
      <fill>
        <patternFill patternType="solid">
          <fgColor rgb="FFF4C7C3"/>
          <bgColor rgb="FFF4C7C3"/>
        </patternFill>
      </fill>
    </dxf>
    <dxf>
      <font>
        <b/>
        <color rgb="FFCC0000"/>
      </font>
      <fill>
        <patternFill patternType="solid">
          <fgColor rgb="FFF4C7C3"/>
          <bgColor rgb="FFF4C7C3"/>
        </patternFill>
      </fill>
    </dxf>
    <dxf>
      <font>
        <b/>
        <color rgb="FF38761D"/>
      </font>
      <fill>
        <patternFill patternType="solid">
          <fgColor rgb="FFB7E1CD"/>
          <bgColor rgb="FFB7E1CD"/>
        </patternFill>
      </fill>
    </dxf>
    <dxf>
      <font>
        <b/>
        <color rgb="FFCC0000"/>
      </font>
      <fill>
        <patternFill patternType="solid">
          <fgColor rgb="FFF4C7C3"/>
          <bgColor rgb="FFF4C7C3"/>
        </patternFill>
      </fill>
    </dxf>
    <dxf>
      <font>
        <b/>
        <color rgb="FF38761D"/>
      </font>
      <fill>
        <patternFill patternType="solid">
          <fgColor rgb="FFB7E1CD"/>
          <bgColor rgb="FFB7E1CD"/>
        </patternFill>
      </fill>
    </dxf>
    <dxf>
      <font>
        <b/>
        <color rgb="FFFFFFFF"/>
      </font>
      <fill>
        <patternFill patternType="solid">
          <fgColor rgb="FFA7B0BF"/>
          <bgColor rgb="FFA7B0BF"/>
        </patternFill>
      </fill>
    </dxf>
    <dxf>
      <font>
        <b/>
        <color rgb="FFFFFFFF"/>
      </font>
      <fill>
        <patternFill patternType="solid">
          <fgColor theme="8"/>
          <bgColor theme="8"/>
        </patternFill>
      </fill>
    </dxf>
    <dxf>
      <font>
        <b/>
        <color rgb="FFFFFFFF"/>
      </font>
      <fill>
        <patternFill patternType="solid">
          <fgColor theme="4"/>
          <bgColor theme="4"/>
        </patternFill>
      </fill>
    </dxf>
    <dxf>
      <font>
        <b/>
        <color rgb="FFFFFFFF"/>
      </font>
      <fill>
        <patternFill patternType="solid">
          <fgColor rgb="FF57BB8A"/>
          <bgColor rgb="FF57BB8A"/>
        </patternFill>
      </fill>
    </dxf>
    <dxf>
      <font>
        <b/>
        <color rgb="FFFFFFFF"/>
      </font>
      <fill>
        <patternFill patternType="solid">
          <fgColor rgb="FFFF594B"/>
          <bgColor rgb="FFFF594B"/>
        </patternFill>
      </fill>
    </dxf>
    <dxf>
      <font>
        <b/>
        <color rgb="FFFFFFFF"/>
      </font>
      <fill>
        <patternFill patternType="solid">
          <fgColor rgb="FFE67C73"/>
          <bgColor rgb="FFE67C73"/>
        </patternFill>
      </fill>
    </dxf>
    <dxf>
      <font>
        <b/>
        <color rgb="FFFFFFFF"/>
      </font>
      <fill>
        <patternFill patternType="solid">
          <fgColor rgb="FF57BB8A"/>
          <bgColor rgb="FF57BB8A"/>
        </patternFill>
      </fill>
    </dxf>
    <dxf>
      <font>
        <color rgb="FFC53929"/>
      </font>
      <fill>
        <patternFill patternType="solid">
          <fgColor rgb="FFFFFFFF"/>
          <bgColor rgb="FFFFFFFF"/>
        </patternFill>
      </fill>
    </dxf>
    <dxf>
      <font>
        <color rgb="FFC53929"/>
      </font>
      <fill>
        <patternFill patternType="none"/>
      </fill>
    </dxf>
    <dxf>
      <font>
        <b/>
        <color rgb="FFEA4335"/>
      </font>
      <fill>
        <patternFill patternType="solid">
          <fgColor rgb="FFF3F3F3"/>
          <bgColor rgb="FFF3F3F3"/>
        </patternFill>
      </fill>
    </dxf>
    <dxf>
      <font>
        <b/>
        <color rgb="FFB45F06"/>
      </font>
      <fill>
        <patternFill patternType="solid">
          <fgColor rgb="FFF3F3F3"/>
          <bgColor rgb="FFF3F3F3"/>
        </patternFill>
      </fill>
    </dxf>
    <dxf>
      <font>
        <b/>
        <color rgb="FFFF6D01"/>
      </font>
      <fill>
        <patternFill patternType="solid">
          <fgColor rgb="FFF3F3F3"/>
          <bgColor rgb="FFF3F3F3"/>
        </patternFill>
      </fill>
    </dxf>
    <dxf>
      <font>
        <b/>
        <color rgb="FFF1C232"/>
      </font>
      <fill>
        <patternFill patternType="solid">
          <fgColor rgb="FFF3F3F3"/>
          <bgColor rgb="FFF3F3F3"/>
        </patternFill>
      </fill>
    </dxf>
    <dxf>
      <font>
        <b/>
        <color rgb="FF93C47D"/>
      </font>
      <fill>
        <patternFill patternType="solid">
          <fgColor rgb="FFF3F3F3"/>
          <bgColor rgb="FFF3F3F3"/>
        </patternFill>
      </fill>
    </dxf>
    <dxf>
      <font>
        <b/>
        <color rgb="FF34A853"/>
      </font>
      <fill>
        <patternFill patternType="solid">
          <fgColor rgb="FFF3F3F3"/>
          <bgColor rgb="FFF3F3F3"/>
        </patternFill>
      </fill>
    </dxf>
    <dxf>
      <font>
        <b/>
        <color rgb="FF57BB8A"/>
      </font>
      <fill>
        <patternFill patternType="solid">
          <fgColor rgb="FFF3F3F3"/>
          <bgColor rgb="FFF3F3F3"/>
        </patternFill>
      </fill>
    </dxf>
    <dxf>
      <font>
        <b/>
        <color rgb="FFF6B26B"/>
      </font>
      <fill>
        <patternFill patternType="solid">
          <fgColor rgb="FFF3F3F3"/>
          <bgColor rgb="FFF3F3F3"/>
        </patternFill>
      </fill>
    </dxf>
    <dxf>
      <font>
        <b/>
        <color rgb="FFE06666"/>
      </font>
      <fill>
        <patternFill patternType="solid">
          <fgColor rgb="FFF3F3F3"/>
          <bgColor rgb="FFF3F3F3"/>
        </patternFill>
      </fill>
    </dxf>
    <dxf>
      <fill>
        <patternFill patternType="solid">
          <fgColor rgb="FFC2F1DA"/>
          <bgColor rgb="FFC2F1DA"/>
        </patternFill>
      </fill>
    </dxf>
    <dxf>
      <fill>
        <patternFill patternType="solid">
          <fgColor rgb="FFFED2D2"/>
          <bgColor rgb="FFFED2D2"/>
        </patternFill>
      </fill>
    </dxf>
    <dxf>
      <font>
        <b/>
        <color rgb="FFEC3222"/>
      </font>
      <fill>
        <patternFill patternType="solid">
          <fgColor rgb="FFFED2D2"/>
          <bgColor rgb="FFFED2D2"/>
        </patternFill>
      </fill>
    </dxf>
    <dxf>
      <font>
        <b/>
        <color rgb="FF4EA67B"/>
      </font>
      <fill>
        <patternFill patternType="solid">
          <fgColor rgb="FFC2F1DA"/>
          <bgColor rgb="FFC2F1DA"/>
        </patternFill>
      </fill>
    </dxf>
    <dxf>
      <font>
        <b/>
        <i/>
        <color rgb="FFCCCCCC"/>
      </font>
      <fill>
        <patternFill patternType="none"/>
      </fill>
    </dxf>
    <dxf>
      <font>
        <b/>
        <color theme="7"/>
      </font>
      <fill>
        <patternFill patternType="none"/>
      </fill>
    </dxf>
    <dxf>
      <font>
        <b/>
        <color rgb="FFEA4335"/>
      </font>
      <fill>
        <patternFill patternType="none"/>
      </fill>
    </dxf>
    <dxf>
      <font>
        <b/>
        <color theme="8"/>
      </font>
      <fill>
        <patternFill patternType="none"/>
      </fill>
    </dxf>
    <dxf>
      <font>
        <b/>
        <color rgb="FFEA4335"/>
      </font>
      <fill>
        <patternFill patternType="none"/>
      </fill>
    </dxf>
    <dxf>
      <font>
        <b/>
        <color rgb="FF34A853"/>
      </font>
      <fill>
        <patternFill patternType="none"/>
      </fill>
    </dxf>
    <dxf>
      <font>
        <b/>
        <color rgb="FFFF6D01"/>
      </font>
      <fill>
        <patternFill patternType="none"/>
      </fill>
    </dxf>
    <dxf>
      <font>
        <b/>
        <color theme="5"/>
      </font>
      <fill>
        <patternFill patternType="none"/>
      </fill>
    </dxf>
    <dxf>
      <font>
        <b/>
        <color theme="8"/>
      </font>
      <fill>
        <patternFill patternType="none"/>
      </fill>
    </dxf>
    <dxf>
      <font>
        <b/>
        <color rgb="FF57BB8A"/>
      </font>
      <fill>
        <patternFill patternType="none"/>
      </fill>
    </dxf>
    <dxf>
      <font>
        <b/>
        <color rgb="FFE67C73"/>
      </font>
      <fill>
        <patternFill patternType="solid">
          <fgColor rgb="FFF3F3F3"/>
          <bgColor rgb="FFF3F3F3"/>
        </patternFill>
      </fill>
    </dxf>
    <dxf>
      <font>
        <b/>
        <color rgb="FF7CCAA4"/>
      </font>
      <fill>
        <patternFill patternType="solid">
          <fgColor rgb="FFF3F3F3"/>
          <bgColor rgb="FFF3F3F3"/>
        </patternFill>
      </fill>
    </dxf>
    <dxf>
      <font>
        <b/>
        <color rgb="FFE78072"/>
      </font>
      <fill>
        <patternFill patternType="solid">
          <fgColor rgb="FFF3F3F3"/>
          <bgColor rgb="FFF3F3F3"/>
        </patternFill>
      </fill>
    </dxf>
    <dxf>
      <font>
        <color rgb="FFF9BD69"/>
      </font>
      <fill>
        <patternFill patternType="solid">
          <fgColor rgb="FFF3F3F3"/>
          <bgColor rgb="FFF3F3F3"/>
        </patternFill>
      </fill>
    </dxf>
    <dxf>
      <fill>
        <patternFill patternType="solid">
          <fgColor rgb="FFF3F3F3"/>
          <bgColor rgb="FFF3F3F3"/>
        </patternFill>
      </fill>
    </dxf>
    <dxf>
      <fill>
        <patternFill patternType="solid">
          <fgColor rgb="FFFFFFFF"/>
          <bgColor rgb="FFFFFFFF"/>
        </patternFill>
      </fill>
    </dxf>
  </dxfs>
  <tableStyles count="1">
    <tableStyle name="Keyword Gap-style" pivot="0" count="2" xr9:uid="{00000000-0011-0000-FFFF-FFFF00000000}">
      <tableStyleElement type="firstRowStripe" dxfId="44"/>
      <tableStyleElement type="secondRowStripe" dxfId="43"/>
    </tableStyle>
  </tableStyles>
  <colors>
    <mruColors>
      <color rgb="FF8EC3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4:W60" headerRowCount="0">
  <tableColumns count="23">
    <tableColumn id="1" xr3:uid="{00000000-0010-0000-0000-000001000000}" name="Column1"/>
    <tableColumn id="2" xr3:uid="{00000000-0010-0000-0000-000002000000}" name="Column2"/>
    <tableColumn id="3" xr3:uid="{00000000-0010-0000-0000-000003000000}" name="Column3"/>
    <tableColumn id="4" xr3:uid="{00000000-0010-0000-0000-000004000000}" name="Column4"/>
    <tableColumn id="5" xr3:uid="{00000000-0010-0000-0000-000005000000}" name="Column5"/>
    <tableColumn id="6" xr3:uid="{00000000-0010-0000-0000-000006000000}" name="Column6"/>
    <tableColumn id="7" xr3:uid="{00000000-0010-0000-0000-000007000000}" name="Column7"/>
    <tableColumn id="8" xr3:uid="{00000000-0010-0000-0000-000008000000}" name="Column8"/>
    <tableColumn id="9" xr3:uid="{00000000-0010-0000-0000-000009000000}" name="Column9"/>
    <tableColumn id="10" xr3:uid="{00000000-0010-0000-0000-00000A000000}" name="Column10"/>
    <tableColumn id="11" xr3:uid="{00000000-0010-0000-0000-00000B000000}" name="Column11"/>
    <tableColumn id="12" xr3:uid="{00000000-0010-0000-0000-00000C000000}" name="Column12"/>
    <tableColumn id="13" xr3:uid="{00000000-0010-0000-0000-00000D000000}" name="Column13"/>
    <tableColumn id="14" xr3:uid="{00000000-0010-0000-0000-00000E000000}" name="Column14"/>
    <tableColumn id="15" xr3:uid="{00000000-0010-0000-0000-00000F000000}" name="Column15"/>
    <tableColumn id="16" xr3:uid="{00000000-0010-0000-0000-000010000000}" name="Column16"/>
    <tableColumn id="17" xr3:uid="{00000000-0010-0000-0000-000011000000}" name="Column17"/>
    <tableColumn id="18" xr3:uid="{00000000-0010-0000-0000-000012000000}" name="Column18"/>
    <tableColumn id="19" xr3:uid="{00000000-0010-0000-0000-000013000000}" name="Column19"/>
    <tableColumn id="20" xr3:uid="{00000000-0010-0000-0000-000014000000}" name="Column20"/>
    <tableColumn id="21" xr3:uid="{00000000-0010-0000-0000-000015000000}" name="Column21"/>
    <tableColumn id="22" xr3:uid="{00000000-0010-0000-0000-000016000000}" name="Column22"/>
    <tableColumn id="23" xr3:uid="{00000000-0010-0000-0000-000017000000}" name="Column23"/>
  </tableColumns>
  <tableStyleInfo name="Keyword Gap-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1.xml.rels><?xml version="1.0" encoding="UTF-8" standalone="yes"?>
<Relationships xmlns="http://schemas.openxmlformats.org/package/2006/relationships"><Relationship Id="rId3" Type="http://schemas.openxmlformats.org/officeDocument/2006/relationships/hyperlink" Target="http://accredited.com/" TargetMode="External"/><Relationship Id="rId7" Type="http://schemas.openxmlformats.org/officeDocument/2006/relationships/table" Target="../tables/table1.xml"/><Relationship Id="rId2" Type="http://schemas.openxmlformats.org/officeDocument/2006/relationships/hyperlink" Target="http://wealthenhancement.com/" TargetMode="External"/><Relationship Id="rId1" Type="http://schemas.openxmlformats.org/officeDocument/2006/relationships/hyperlink" Target="http://abcfinancial.net/" TargetMode="External"/><Relationship Id="rId6" Type="http://schemas.openxmlformats.org/officeDocument/2006/relationships/hyperlink" Target="http://silveroakwealth.com/" TargetMode="External"/><Relationship Id="rId5" Type="http://schemas.openxmlformats.org/officeDocument/2006/relationships/hyperlink" Target="http://creativeplanning.com/" TargetMode="External"/><Relationship Id="rId4" Type="http://schemas.openxmlformats.org/officeDocument/2006/relationships/hyperlink" Target="http://marksgroup.com/"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accredited.com/" TargetMode="External"/><Relationship Id="rId2" Type="http://schemas.openxmlformats.org/officeDocument/2006/relationships/hyperlink" Target="http://wealthenhancement.com/" TargetMode="External"/><Relationship Id="rId1" Type="http://schemas.openxmlformats.org/officeDocument/2006/relationships/hyperlink" Target="http://abcfinancial.net/" TargetMode="External"/><Relationship Id="rId6" Type="http://schemas.openxmlformats.org/officeDocument/2006/relationships/hyperlink" Target="http://silveroakwealth.com/" TargetMode="External"/><Relationship Id="rId5" Type="http://schemas.openxmlformats.org/officeDocument/2006/relationships/hyperlink" Target="http://creativeplanning.com/" TargetMode="External"/><Relationship Id="rId4" Type="http://schemas.openxmlformats.org/officeDocument/2006/relationships/hyperlink" Target="http://marksgroup.com/" TargetMode="External"/></Relationships>
</file>

<file path=xl/worksheets/_rels/sheet13.xml.rels><?xml version="1.0" encoding="UTF-8" standalone="yes"?>
<Relationships xmlns="http://schemas.openxmlformats.org/package/2006/relationships"><Relationship Id="rId1" Type="http://schemas.openxmlformats.org/officeDocument/2006/relationships/hyperlink" Target="http://wwwabc.com/"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financial-net.com/" TargetMode="External"/><Relationship Id="rId2" Type="http://schemas.openxmlformats.org/officeDocument/2006/relationships/hyperlink" Target="http://wwwabc.com/" TargetMode="External"/><Relationship Id="rId1" Type="http://schemas.openxmlformats.org/officeDocument/2006/relationships/hyperlink" Target="http://moneychimp.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moneychimp.com/" TargetMode="External"/><Relationship Id="rId2" Type="http://schemas.openxmlformats.org/officeDocument/2006/relationships/hyperlink" Target="http://wwwabc.com/" TargetMode="External"/><Relationship Id="rId1" Type="http://schemas.openxmlformats.org/officeDocument/2006/relationships/hyperlink" Target="http://financial-net.com/"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www.abcfinancial.ne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A25A7"/>
    <outlinePr summaryBelow="0" summaryRight="0"/>
  </sheetPr>
  <dimension ref="A1:P89"/>
  <sheetViews>
    <sheetView showGridLines="0" topLeftCell="A67" workbookViewId="0">
      <selection activeCell="C81" sqref="C81:M83"/>
    </sheetView>
  </sheetViews>
  <sheetFormatPr defaultColWidth="12.5703125" defaultRowHeight="15.75" customHeight="1" x14ac:dyDescent="0.2"/>
  <cols>
    <col min="1" max="2" width="2.42578125" customWidth="1"/>
    <col min="6" max="6" width="4.42578125" customWidth="1"/>
    <col min="7" max="7" width="2.7109375" customWidth="1"/>
    <col min="9" max="9" width="16" customWidth="1"/>
    <col min="10" max="10" width="13.42578125" customWidth="1"/>
    <col min="11" max="11" width="3.42578125" customWidth="1"/>
    <col min="14" max="16" width="2.42578125" customWidth="1"/>
  </cols>
  <sheetData>
    <row r="1" spans="1:16" ht="16.5" x14ac:dyDescent="0.35">
      <c r="A1" s="1"/>
      <c r="B1" s="1"/>
      <c r="C1" s="264" t="s">
        <v>0</v>
      </c>
      <c r="D1" s="260"/>
      <c r="E1" s="260"/>
      <c r="F1" s="260"/>
      <c r="G1" s="260"/>
      <c r="H1" s="260"/>
      <c r="I1" s="260"/>
      <c r="J1" s="260"/>
      <c r="K1" s="260"/>
      <c r="L1" s="260"/>
      <c r="M1" s="260"/>
      <c r="N1" s="1"/>
      <c r="O1" s="1"/>
      <c r="P1" s="1"/>
    </row>
    <row r="2" spans="1:16" ht="16.5" x14ac:dyDescent="0.35">
      <c r="A2" s="2"/>
      <c r="B2" s="2"/>
      <c r="C2" s="260"/>
      <c r="D2" s="260"/>
      <c r="E2" s="260"/>
      <c r="F2" s="260"/>
      <c r="G2" s="260"/>
      <c r="H2" s="260"/>
      <c r="I2" s="260"/>
      <c r="J2" s="260"/>
      <c r="K2" s="260"/>
      <c r="L2" s="260"/>
      <c r="M2" s="260"/>
      <c r="N2" s="2"/>
      <c r="O2" s="2"/>
      <c r="P2" s="2"/>
    </row>
    <row r="3" spans="1:16" ht="38.25" x14ac:dyDescent="0.75">
      <c r="A3" s="3"/>
      <c r="B3" s="3"/>
      <c r="C3" s="4"/>
      <c r="D3" s="4"/>
      <c r="E3" s="4"/>
      <c r="F3" s="5"/>
      <c r="G3" s="5"/>
      <c r="H3" s="5"/>
      <c r="I3" s="5"/>
      <c r="J3" s="3"/>
      <c r="K3" s="3"/>
      <c r="L3" s="265" t="e" cm="1">
        <f t="array" aca="1" ref="L3" ca="1">IMAGE("https://ddmsolutions.co/wp-content/uploads/2023/11/ddm-new-logo.png")</f>
        <v>#NAME?</v>
      </c>
      <c r="M3" s="266"/>
      <c r="N3" s="3"/>
      <c r="O3" s="3"/>
      <c r="P3" s="3"/>
    </row>
    <row r="4" spans="1:16" ht="18" x14ac:dyDescent="0.35">
      <c r="A4" s="6"/>
      <c r="B4" s="6"/>
      <c r="C4" s="267" t="s">
        <v>1</v>
      </c>
      <c r="D4" s="260"/>
      <c r="E4" s="296" t="s">
        <v>2</v>
      </c>
      <c r="F4" s="297" t="str">
        <f>HYPERLINK("https://www.examplebusiness.com","https://www.examplebusiness.com")</f>
        <v>https://www.examplebusiness.com</v>
      </c>
      <c r="G4" s="7"/>
      <c r="H4" s="7"/>
      <c r="I4" s="8"/>
      <c r="J4" s="6"/>
      <c r="K4" s="6"/>
      <c r="L4" s="260"/>
      <c r="M4" s="260"/>
      <c r="N4" s="6"/>
      <c r="O4" s="6"/>
      <c r="P4" s="6"/>
    </row>
    <row r="5" spans="1:16" ht="18" x14ac:dyDescent="0.35">
      <c r="A5" s="6"/>
      <c r="B5" s="6"/>
      <c r="C5" s="260"/>
      <c r="D5" s="260"/>
      <c r="E5" s="9" t="s">
        <v>3</v>
      </c>
      <c r="F5" s="294">
        <v>45691</v>
      </c>
      <c r="G5" s="295"/>
      <c r="H5" s="295"/>
      <c r="I5" s="10"/>
      <c r="J5" s="6"/>
      <c r="K5" s="6"/>
      <c r="L5" s="260"/>
      <c r="M5" s="260"/>
      <c r="N5" s="6"/>
      <c r="O5" s="6"/>
      <c r="P5" s="6"/>
    </row>
    <row r="6" spans="1:16" ht="18" customHeight="1" x14ac:dyDescent="0.75">
      <c r="A6" s="6"/>
      <c r="B6" s="6"/>
      <c r="C6" s="11"/>
      <c r="D6" s="11"/>
      <c r="E6" s="11"/>
      <c r="F6" s="12"/>
      <c r="G6" s="12"/>
      <c r="H6" s="12"/>
      <c r="I6" s="12"/>
      <c r="J6" s="6"/>
      <c r="K6" s="6"/>
      <c r="L6" s="260"/>
      <c r="M6" s="260"/>
      <c r="N6" s="6"/>
      <c r="O6" s="6"/>
      <c r="P6" s="6"/>
    </row>
    <row r="7" spans="1:16" ht="12" customHeight="1" x14ac:dyDescent="0.75">
      <c r="A7" s="6"/>
      <c r="B7" s="13"/>
      <c r="C7" s="14"/>
      <c r="D7" s="14"/>
      <c r="E7" s="14"/>
      <c r="F7" s="15"/>
      <c r="G7" s="15"/>
      <c r="H7" s="15"/>
      <c r="I7" s="15"/>
      <c r="J7" s="16"/>
      <c r="K7" s="16"/>
      <c r="L7" s="17"/>
      <c r="M7" s="17"/>
      <c r="N7" s="16"/>
      <c r="O7" s="18"/>
      <c r="P7" s="6"/>
    </row>
    <row r="8" spans="1:16" ht="72" customHeight="1" x14ac:dyDescent="0.35">
      <c r="A8" s="6"/>
      <c r="B8" s="19"/>
      <c r="C8" s="269" t="s">
        <v>4</v>
      </c>
      <c r="D8" s="260"/>
      <c r="E8" s="260"/>
      <c r="F8" s="260"/>
      <c r="G8" s="260"/>
      <c r="H8" s="260"/>
      <c r="I8" s="260"/>
      <c r="J8" s="260"/>
      <c r="K8" s="260"/>
      <c r="L8" s="260"/>
      <c r="M8" s="260"/>
      <c r="N8" s="20"/>
      <c r="O8" s="21"/>
      <c r="P8" s="6"/>
    </row>
    <row r="9" spans="1:16" ht="16.5" x14ac:dyDescent="0.35">
      <c r="A9" s="6"/>
      <c r="B9" s="19"/>
      <c r="C9" s="260"/>
      <c r="D9" s="260"/>
      <c r="E9" s="260"/>
      <c r="F9" s="260"/>
      <c r="G9" s="260"/>
      <c r="H9" s="260"/>
      <c r="I9" s="260"/>
      <c r="J9" s="260"/>
      <c r="K9" s="260"/>
      <c r="L9" s="260"/>
      <c r="M9" s="260"/>
      <c r="N9" s="20"/>
      <c r="O9" s="21"/>
      <c r="P9" s="6"/>
    </row>
    <row r="10" spans="1:16" ht="38.25" x14ac:dyDescent="0.75">
      <c r="A10" s="6"/>
      <c r="B10" s="22"/>
      <c r="C10" s="23"/>
      <c r="D10" s="24"/>
      <c r="E10" s="25"/>
      <c r="F10" s="25"/>
      <c r="G10" s="25"/>
      <c r="H10" s="25"/>
      <c r="I10" s="25"/>
      <c r="J10" s="25"/>
      <c r="K10" s="25"/>
      <c r="L10" s="25"/>
      <c r="M10" s="25"/>
      <c r="N10" s="25"/>
      <c r="O10" s="26"/>
      <c r="P10" s="6"/>
    </row>
    <row r="11" spans="1:16" ht="16.5" x14ac:dyDescent="0.35">
      <c r="A11" s="6"/>
      <c r="B11" s="12"/>
      <c r="C11" s="12"/>
      <c r="D11" s="12"/>
      <c r="E11" s="12"/>
      <c r="F11" s="12"/>
      <c r="G11" s="12"/>
      <c r="H11" s="12"/>
      <c r="I11" s="12"/>
      <c r="J11" s="12"/>
      <c r="K11" s="12"/>
      <c r="L11" s="12"/>
      <c r="M11" s="12"/>
      <c r="N11" s="12"/>
      <c r="O11" s="12"/>
      <c r="P11" s="6"/>
    </row>
    <row r="12" spans="1:16" ht="12.75" customHeight="1" x14ac:dyDescent="0.45">
      <c r="A12" s="6"/>
      <c r="B12" s="20"/>
      <c r="C12" s="27"/>
      <c r="D12" s="20"/>
      <c r="E12" s="20"/>
      <c r="F12" s="12"/>
      <c r="G12" s="28"/>
      <c r="H12" s="29"/>
      <c r="I12" s="30"/>
      <c r="J12" s="31"/>
      <c r="K12" s="30"/>
      <c r="L12" s="30"/>
      <c r="M12" s="30"/>
      <c r="N12" s="30"/>
      <c r="O12" s="32"/>
      <c r="P12" s="6"/>
    </row>
    <row r="13" spans="1:16" ht="22.5" x14ac:dyDescent="0.45">
      <c r="A13" s="6"/>
      <c r="B13" s="20"/>
      <c r="C13" s="27" t="s">
        <v>5</v>
      </c>
      <c r="D13" s="33"/>
      <c r="E13" s="34"/>
      <c r="F13" s="12"/>
      <c r="G13" s="35"/>
      <c r="H13" s="27" t="s">
        <v>6</v>
      </c>
      <c r="I13" s="36"/>
      <c r="J13" s="20"/>
      <c r="K13" s="20"/>
      <c r="L13" s="20"/>
      <c r="M13" s="20"/>
      <c r="N13" s="20"/>
      <c r="O13" s="37"/>
      <c r="P13" s="6"/>
    </row>
    <row r="14" spans="1:16" ht="22.5" x14ac:dyDescent="0.45">
      <c r="A14" s="6"/>
      <c r="B14" s="20"/>
      <c r="C14" s="38"/>
      <c r="D14" s="33"/>
      <c r="E14" s="34"/>
      <c r="F14" s="12"/>
      <c r="G14" s="35"/>
      <c r="H14" s="20"/>
      <c r="I14" s="36"/>
      <c r="J14" s="20"/>
      <c r="K14" s="20"/>
      <c r="L14" s="20"/>
      <c r="M14" s="20"/>
      <c r="N14" s="20"/>
      <c r="O14" s="37"/>
      <c r="P14" s="6"/>
    </row>
    <row r="15" spans="1:16" ht="22.5" x14ac:dyDescent="0.45">
      <c r="A15" s="6"/>
      <c r="B15" s="20"/>
      <c r="C15" s="38" t="s">
        <v>7</v>
      </c>
      <c r="D15" s="39" t="s">
        <v>8</v>
      </c>
      <c r="E15" s="34"/>
      <c r="F15" s="12"/>
      <c r="G15" s="40"/>
      <c r="H15" s="36"/>
      <c r="I15" s="41" t="s">
        <v>9</v>
      </c>
      <c r="J15" s="41" t="s">
        <v>10</v>
      </c>
      <c r="K15" s="42"/>
      <c r="L15" s="270" t="s">
        <v>11</v>
      </c>
      <c r="M15" s="260"/>
      <c r="N15" s="20"/>
      <c r="O15" s="37"/>
      <c r="P15" s="6"/>
    </row>
    <row r="16" spans="1:16" ht="19.5" x14ac:dyDescent="0.4">
      <c r="A16" s="6"/>
      <c r="B16" s="20"/>
      <c r="C16" s="38" t="s">
        <v>7</v>
      </c>
      <c r="D16" s="43" t="s">
        <v>12</v>
      </c>
      <c r="E16" s="34"/>
      <c r="F16" s="12"/>
      <c r="G16" s="44"/>
      <c r="H16" s="45"/>
      <c r="I16" s="46" t="s">
        <v>13</v>
      </c>
      <c r="J16" s="46" t="s">
        <v>13</v>
      </c>
      <c r="K16" s="46"/>
      <c r="L16" s="271" t="s">
        <v>13</v>
      </c>
      <c r="M16" s="260"/>
      <c r="N16" s="20"/>
      <c r="O16" s="37"/>
      <c r="P16" s="6"/>
    </row>
    <row r="17" spans="1:16" ht="19.5" x14ac:dyDescent="0.4">
      <c r="A17" s="6"/>
      <c r="B17" s="20"/>
      <c r="C17" s="38" t="s">
        <v>7</v>
      </c>
      <c r="D17" s="43" t="s">
        <v>14</v>
      </c>
      <c r="E17" s="20"/>
      <c r="F17" s="12"/>
      <c r="G17" s="47"/>
      <c r="H17" s="45"/>
      <c r="I17" s="46"/>
      <c r="J17" s="46"/>
      <c r="K17" s="46"/>
      <c r="L17" s="271"/>
      <c r="M17" s="260"/>
      <c r="N17" s="20"/>
      <c r="O17" s="37"/>
      <c r="P17" s="6"/>
    </row>
    <row r="18" spans="1:16" ht="19.5" x14ac:dyDescent="0.4">
      <c r="A18" s="6"/>
      <c r="B18" s="20"/>
      <c r="C18" s="38" t="s">
        <v>7</v>
      </c>
      <c r="D18" s="43" t="s">
        <v>15</v>
      </c>
      <c r="E18" s="20"/>
      <c r="F18" s="12"/>
      <c r="G18" s="47"/>
      <c r="H18" s="45" t="s">
        <v>16</v>
      </c>
      <c r="I18" s="46">
        <f>'summary-staging'!E3</f>
        <v>5</v>
      </c>
      <c r="J18" s="46">
        <f>'summary-staging'!E10</f>
        <v>0</v>
      </c>
      <c r="K18" s="46"/>
      <c r="L18" s="271">
        <f>J18-I18</f>
        <v>-5</v>
      </c>
      <c r="M18" s="260"/>
      <c r="N18" s="20"/>
      <c r="O18" s="37"/>
      <c r="P18" s="6"/>
    </row>
    <row r="19" spans="1:16" ht="19.5" x14ac:dyDescent="0.4">
      <c r="A19" s="6"/>
      <c r="B19" s="20"/>
      <c r="C19" s="38" t="s">
        <v>7</v>
      </c>
      <c r="D19" s="39" t="s">
        <v>17</v>
      </c>
      <c r="E19" s="20"/>
      <c r="F19" s="12"/>
      <c r="G19" s="47"/>
      <c r="H19" s="45"/>
      <c r="I19" s="46"/>
      <c r="J19" s="46"/>
      <c r="K19" s="46"/>
      <c r="L19" s="271"/>
      <c r="M19" s="260"/>
      <c r="N19" s="20"/>
      <c r="O19" s="37"/>
      <c r="P19" s="6"/>
    </row>
    <row r="20" spans="1:16" ht="22.5" x14ac:dyDescent="0.45">
      <c r="A20" s="6"/>
      <c r="B20" s="20"/>
      <c r="C20" s="38" t="s">
        <v>7</v>
      </c>
      <c r="D20" s="43" t="s">
        <v>18</v>
      </c>
      <c r="E20" s="20"/>
      <c r="F20" s="12"/>
      <c r="G20" s="40"/>
      <c r="H20" s="45" t="s">
        <v>19</v>
      </c>
      <c r="I20" s="46">
        <f>'summary-staging'!E4</f>
        <v>3</v>
      </c>
      <c r="J20" s="46">
        <f>'summary-staging'!E11</f>
        <v>0</v>
      </c>
      <c r="K20" s="46"/>
      <c r="L20" s="271">
        <f>J20-I20</f>
        <v>-3</v>
      </c>
      <c r="M20" s="260"/>
      <c r="N20" s="20"/>
      <c r="O20" s="37"/>
      <c r="P20" s="6"/>
    </row>
    <row r="21" spans="1:16" ht="19.5" x14ac:dyDescent="0.4">
      <c r="A21" s="6"/>
      <c r="B21" s="20"/>
      <c r="C21" s="38" t="s">
        <v>7</v>
      </c>
      <c r="D21" s="43" t="s">
        <v>20</v>
      </c>
      <c r="E21" s="20"/>
      <c r="F21" s="12"/>
      <c r="G21" s="44"/>
      <c r="H21" s="45"/>
      <c r="I21" s="46"/>
      <c r="J21" s="45"/>
      <c r="K21" s="46"/>
      <c r="L21" s="45"/>
      <c r="M21" s="48"/>
      <c r="N21" s="20"/>
      <c r="O21" s="37"/>
      <c r="P21" s="6"/>
    </row>
    <row r="22" spans="1:16" ht="19.5" x14ac:dyDescent="0.4">
      <c r="A22" s="6"/>
      <c r="B22" s="20"/>
      <c r="C22" s="38" t="s">
        <v>7</v>
      </c>
      <c r="D22" s="43" t="s">
        <v>21</v>
      </c>
      <c r="E22" s="20"/>
      <c r="F22" s="12"/>
      <c r="G22" s="47"/>
      <c r="H22" s="45" t="s">
        <v>22</v>
      </c>
      <c r="I22" s="46">
        <f>'summary-staging'!E5</f>
        <v>260</v>
      </c>
      <c r="J22" s="46">
        <f>'summary-staging'!E12</f>
        <v>0</v>
      </c>
      <c r="K22" s="46"/>
      <c r="L22" s="271">
        <f>J22-I22</f>
        <v>-260</v>
      </c>
      <c r="M22" s="260"/>
      <c r="N22" s="20"/>
      <c r="O22" s="37"/>
      <c r="P22" s="6"/>
    </row>
    <row r="23" spans="1:16" ht="19.5" x14ac:dyDescent="0.4">
      <c r="A23" s="6"/>
      <c r="B23" s="20"/>
      <c r="C23" s="38" t="s">
        <v>7</v>
      </c>
      <c r="D23" s="43" t="s">
        <v>23</v>
      </c>
      <c r="E23" s="20"/>
      <c r="F23" s="12"/>
      <c r="G23" s="47"/>
      <c r="H23" s="45"/>
      <c r="I23" s="46"/>
      <c r="J23" s="45"/>
      <c r="K23" s="46"/>
      <c r="L23" s="45"/>
      <c r="M23" s="48"/>
      <c r="N23" s="20"/>
      <c r="O23" s="37"/>
      <c r="P23" s="6"/>
    </row>
    <row r="24" spans="1:16" ht="19.5" x14ac:dyDescent="0.4">
      <c r="A24" s="6"/>
      <c r="B24" s="20"/>
      <c r="C24" s="38" t="s">
        <v>7</v>
      </c>
      <c r="D24" s="43" t="s">
        <v>24</v>
      </c>
      <c r="E24" s="20"/>
      <c r="F24" s="12"/>
      <c r="G24" s="47"/>
      <c r="H24" s="49" t="s">
        <v>25</v>
      </c>
      <c r="I24" s="50">
        <f t="shared" ref="I24:J24" si="0">SUM(I18:I22)</f>
        <v>268</v>
      </c>
      <c r="J24" s="50">
        <f t="shared" si="0"/>
        <v>0</v>
      </c>
      <c r="K24" s="50"/>
      <c r="L24" s="272">
        <f>SUM(L18:M22)</f>
        <v>-268</v>
      </c>
      <c r="M24" s="260"/>
      <c r="N24" s="20"/>
      <c r="O24" s="37"/>
      <c r="P24" s="6"/>
    </row>
    <row r="25" spans="1:16" ht="22.5" x14ac:dyDescent="0.45">
      <c r="A25" s="6"/>
      <c r="B25" s="20"/>
      <c r="C25" s="38" t="s">
        <v>7</v>
      </c>
      <c r="D25" s="43" t="s">
        <v>26</v>
      </c>
      <c r="E25" s="20"/>
      <c r="F25" s="12"/>
      <c r="G25" s="35"/>
      <c r="H25" s="20"/>
      <c r="I25" s="20"/>
      <c r="J25" s="36"/>
      <c r="K25" s="20"/>
      <c r="L25" s="20"/>
      <c r="M25" s="20"/>
      <c r="N25" s="20"/>
      <c r="O25" s="37"/>
      <c r="P25" s="6"/>
    </row>
    <row r="26" spans="1:16" ht="22.5" x14ac:dyDescent="0.45">
      <c r="A26" s="6"/>
      <c r="B26" s="20"/>
      <c r="C26" s="38"/>
      <c r="D26" s="51"/>
      <c r="E26" s="20"/>
      <c r="F26" s="12"/>
      <c r="G26" s="52"/>
      <c r="H26" s="53"/>
      <c r="I26" s="53"/>
      <c r="J26" s="54"/>
      <c r="K26" s="53"/>
      <c r="L26" s="53"/>
      <c r="M26" s="53"/>
      <c r="N26" s="53"/>
      <c r="O26" s="55"/>
      <c r="P26" s="6"/>
    </row>
    <row r="27" spans="1:16" ht="19.5" x14ac:dyDescent="0.4">
      <c r="A27" s="6"/>
      <c r="B27" s="6"/>
      <c r="C27" s="56"/>
      <c r="D27" s="57"/>
      <c r="E27" s="6"/>
      <c r="F27" s="58"/>
      <c r="G27" s="6"/>
      <c r="H27" s="6"/>
      <c r="I27" s="6"/>
      <c r="J27" s="6"/>
      <c r="K27" s="6"/>
      <c r="L27" s="6"/>
      <c r="M27" s="6"/>
      <c r="N27" s="6"/>
      <c r="O27" s="6"/>
      <c r="P27" s="6"/>
    </row>
    <row r="28" spans="1:16" ht="16.5" x14ac:dyDescent="0.35">
      <c r="A28" s="6"/>
      <c r="B28" s="59"/>
      <c r="C28" s="60"/>
      <c r="D28" s="60"/>
      <c r="E28" s="60"/>
      <c r="F28" s="60"/>
      <c r="G28" s="60"/>
      <c r="H28" s="60"/>
      <c r="I28" s="60"/>
      <c r="J28" s="60"/>
      <c r="K28" s="60"/>
      <c r="L28" s="60"/>
      <c r="M28" s="60"/>
      <c r="N28" s="60"/>
      <c r="O28" s="61"/>
      <c r="P28" s="6"/>
    </row>
    <row r="29" spans="1:16" ht="28.5" x14ac:dyDescent="0.55000000000000004">
      <c r="A29" s="6"/>
      <c r="B29" s="62"/>
      <c r="C29" s="63" t="s">
        <v>27</v>
      </c>
      <c r="D29" s="64"/>
      <c r="E29" s="64"/>
      <c r="F29" s="64"/>
      <c r="G29" s="65"/>
      <c r="H29" s="65"/>
      <c r="I29" s="65"/>
      <c r="J29" s="273" t="s">
        <v>28</v>
      </c>
      <c r="K29" s="263"/>
      <c r="L29" s="263"/>
      <c r="M29" s="263"/>
      <c r="N29" s="20"/>
      <c r="O29" s="21"/>
      <c r="P29" s="6"/>
    </row>
    <row r="30" spans="1:16" ht="19.5" x14ac:dyDescent="0.4">
      <c r="A30" s="6"/>
      <c r="B30" s="19"/>
      <c r="C30" s="20"/>
      <c r="D30" s="66"/>
      <c r="E30" s="66"/>
      <c r="F30" s="20"/>
      <c r="G30" s="20"/>
      <c r="H30" s="20"/>
      <c r="I30" s="20"/>
      <c r="J30" s="20"/>
      <c r="K30" s="67"/>
      <c r="L30" s="20"/>
      <c r="M30" s="20"/>
      <c r="N30" s="20"/>
      <c r="O30" s="21"/>
      <c r="P30" s="6"/>
    </row>
    <row r="31" spans="1:16" ht="19.5" x14ac:dyDescent="0.4">
      <c r="A31" s="6"/>
      <c r="B31" s="19"/>
      <c r="C31" s="33" t="s">
        <v>29</v>
      </c>
      <c r="D31" s="68"/>
      <c r="E31" s="68"/>
      <c r="F31" s="69"/>
      <c r="G31" s="69"/>
      <c r="H31" s="69"/>
      <c r="I31" s="69"/>
      <c r="J31" s="261" t="b">
        <v>1</v>
      </c>
      <c r="K31" s="259" t="s">
        <v>30</v>
      </c>
      <c r="L31" s="260"/>
      <c r="M31" s="260"/>
      <c r="N31" s="20"/>
      <c r="O31" s="21"/>
      <c r="P31" s="6"/>
    </row>
    <row r="32" spans="1:16" ht="20.25" customHeight="1" x14ac:dyDescent="0.35">
      <c r="A32" s="6"/>
      <c r="B32" s="19"/>
      <c r="C32" s="274" t="s">
        <v>31</v>
      </c>
      <c r="D32" s="276" t="s">
        <v>32</v>
      </c>
      <c r="E32" s="260"/>
      <c r="F32" s="260"/>
      <c r="G32" s="260"/>
      <c r="H32" s="260"/>
      <c r="I32" s="260"/>
      <c r="J32" s="260"/>
      <c r="K32" s="260"/>
      <c r="L32" s="260"/>
      <c r="M32" s="260"/>
      <c r="N32" s="20"/>
      <c r="O32" s="21"/>
      <c r="P32" s="6"/>
    </row>
    <row r="33" spans="1:16" ht="30.75" customHeight="1" x14ac:dyDescent="0.35">
      <c r="A33" s="6"/>
      <c r="B33" s="19"/>
      <c r="C33" s="275"/>
      <c r="D33" s="260"/>
      <c r="E33" s="260"/>
      <c r="F33" s="260"/>
      <c r="G33" s="260"/>
      <c r="H33" s="260"/>
      <c r="I33" s="260"/>
      <c r="J33" s="260"/>
      <c r="K33" s="260"/>
      <c r="L33" s="260"/>
      <c r="M33" s="260"/>
      <c r="N33" s="20"/>
      <c r="O33" s="21"/>
      <c r="P33" s="6"/>
    </row>
    <row r="34" spans="1:16" ht="19.5" x14ac:dyDescent="0.4">
      <c r="A34" s="6"/>
      <c r="B34" s="19"/>
      <c r="C34" s="68"/>
      <c r="D34" s="68"/>
      <c r="E34" s="69"/>
      <c r="F34" s="69"/>
      <c r="G34" s="69"/>
      <c r="H34" s="69"/>
      <c r="I34" s="69"/>
      <c r="J34" s="69"/>
      <c r="K34" s="70"/>
      <c r="L34" s="70"/>
      <c r="M34" s="70"/>
      <c r="N34" s="20"/>
      <c r="O34" s="21"/>
      <c r="P34" s="6"/>
    </row>
    <row r="35" spans="1:16" ht="19.5" x14ac:dyDescent="0.4">
      <c r="A35" s="6"/>
      <c r="B35" s="19"/>
      <c r="C35" s="277" t="s">
        <v>33</v>
      </c>
      <c r="D35" s="260"/>
      <c r="E35" s="68"/>
      <c r="F35" s="69"/>
      <c r="G35" s="69"/>
      <c r="H35" s="69"/>
      <c r="I35" s="69"/>
      <c r="J35" s="261" t="b">
        <v>1</v>
      </c>
      <c r="K35" s="259" t="s">
        <v>34</v>
      </c>
      <c r="L35" s="260"/>
      <c r="M35" s="260"/>
      <c r="N35" s="20"/>
      <c r="O35" s="21"/>
      <c r="P35" s="6"/>
    </row>
    <row r="36" spans="1:16" ht="27" customHeight="1" x14ac:dyDescent="0.35">
      <c r="A36" s="6"/>
      <c r="B36" s="19"/>
      <c r="C36" s="278" t="s">
        <v>35</v>
      </c>
      <c r="D36" s="276" t="s">
        <v>36</v>
      </c>
      <c r="E36" s="260"/>
      <c r="F36" s="260"/>
      <c r="G36" s="260"/>
      <c r="H36" s="260"/>
      <c r="I36" s="260"/>
      <c r="J36" s="260"/>
      <c r="K36" s="260"/>
      <c r="L36" s="260"/>
      <c r="M36" s="260"/>
      <c r="N36" s="20"/>
      <c r="O36" s="21"/>
      <c r="P36" s="6"/>
    </row>
    <row r="37" spans="1:16" ht="27" customHeight="1" x14ac:dyDescent="0.35">
      <c r="A37" s="6"/>
      <c r="B37" s="19"/>
      <c r="C37" s="275"/>
      <c r="D37" s="260"/>
      <c r="E37" s="260"/>
      <c r="F37" s="260"/>
      <c r="G37" s="260"/>
      <c r="H37" s="260"/>
      <c r="I37" s="260"/>
      <c r="J37" s="260"/>
      <c r="K37" s="260"/>
      <c r="L37" s="260"/>
      <c r="M37" s="260"/>
      <c r="N37" s="20"/>
      <c r="O37" s="21"/>
      <c r="P37" s="6"/>
    </row>
    <row r="38" spans="1:16" ht="16.5" x14ac:dyDescent="0.35">
      <c r="A38" s="6"/>
      <c r="B38" s="19"/>
      <c r="C38" s="69"/>
      <c r="D38" s="69"/>
      <c r="E38" s="69"/>
      <c r="F38" s="69"/>
      <c r="G38" s="69"/>
      <c r="H38" s="69"/>
      <c r="I38" s="20"/>
      <c r="J38" s="20"/>
      <c r="K38" s="67"/>
      <c r="L38" s="20"/>
      <c r="M38" s="20"/>
      <c r="N38" s="20"/>
      <c r="O38" s="21"/>
      <c r="P38" s="6"/>
    </row>
    <row r="39" spans="1:16" ht="19.5" x14ac:dyDescent="0.4">
      <c r="A39" s="6"/>
      <c r="B39" s="19"/>
      <c r="C39" s="277" t="s">
        <v>37</v>
      </c>
      <c r="D39" s="260"/>
      <c r="E39" s="68"/>
      <c r="F39" s="69"/>
      <c r="G39" s="69"/>
      <c r="H39" s="69"/>
      <c r="I39" s="69"/>
      <c r="J39" s="261" t="b">
        <v>1</v>
      </c>
      <c r="K39" s="259" t="s">
        <v>38</v>
      </c>
      <c r="L39" s="260"/>
      <c r="M39" s="260"/>
      <c r="N39" s="20"/>
      <c r="O39" s="21"/>
      <c r="P39" s="6"/>
    </row>
    <row r="40" spans="1:16" ht="20.25" customHeight="1" x14ac:dyDescent="0.35">
      <c r="A40" s="6"/>
      <c r="B40" s="19"/>
      <c r="C40" s="278" t="s">
        <v>39</v>
      </c>
      <c r="D40" s="276" t="s">
        <v>40</v>
      </c>
      <c r="E40" s="260"/>
      <c r="F40" s="260"/>
      <c r="G40" s="260"/>
      <c r="H40" s="260"/>
      <c r="I40" s="260"/>
      <c r="J40" s="260"/>
      <c r="K40" s="260"/>
      <c r="L40" s="260"/>
      <c r="M40" s="260"/>
      <c r="N40" s="20"/>
      <c r="O40" s="21"/>
      <c r="P40" s="6"/>
    </row>
    <row r="41" spans="1:16" ht="39.75" customHeight="1" x14ac:dyDescent="0.35">
      <c r="A41" s="6"/>
      <c r="B41" s="19"/>
      <c r="C41" s="275"/>
      <c r="D41" s="260"/>
      <c r="E41" s="260"/>
      <c r="F41" s="260"/>
      <c r="G41" s="260"/>
      <c r="H41" s="260"/>
      <c r="I41" s="260"/>
      <c r="J41" s="260"/>
      <c r="K41" s="260"/>
      <c r="L41" s="260"/>
      <c r="M41" s="260"/>
      <c r="N41" s="20"/>
      <c r="O41" s="21"/>
      <c r="P41" s="6"/>
    </row>
    <row r="42" spans="1:16" ht="16.5" x14ac:dyDescent="0.35">
      <c r="A42" s="6"/>
      <c r="B42" s="19"/>
      <c r="C42" s="69"/>
      <c r="D42" s="69"/>
      <c r="E42" s="69"/>
      <c r="F42" s="69"/>
      <c r="G42" s="69"/>
      <c r="H42" s="69"/>
      <c r="I42" s="20"/>
      <c r="J42" s="20"/>
      <c r="K42" s="67"/>
      <c r="L42" s="20"/>
      <c r="M42" s="20"/>
      <c r="N42" s="20"/>
      <c r="O42" s="21"/>
      <c r="P42" s="6"/>
    </row>
    <row r="43" spans="1:16" ht="19.5" x14ac:dyDescent="0.4">
      <c r="A43" s="6"/>
      <c r="B43" s="19"/>
      <c r="C43" s="277" t="s">
        <v>41</v>
      </c>
      <c r="D43" s="260"/>
      <c r="E43" s="68"/>
      <c r="F43" s="69"/>
      <c r="G43" s="69"/>
      <c r="H43" s="69"/>
      <c r="I43" s="69"/>
      <c r="J43" s="261" t="b">
        <v>1</v>
      </c>
      <c r="K43" s="259" t="s">
        <v>42</v>
      </c>
      <c r="L43" s="260"/>
      <c r="M43" s="260"/>
      <c r="N43" s="20"/>
      <c r="O43" s="21"/>
      <c r="P43" s="6"/>
    </row>
    <row r="44" spans="1:16" ht="16.5" x14ac:dyDescent="0.35">
      <c r="A44" s="6"/>
      <c r="B44" s="19"/>
      <c r="C44" s="278" t="s">
        <v>43</v>
      </c>
      <c r="D44" s="276" t="s">
        <v>44</v>
      </c>
      <c r="E44" s="260"/>
      <c r="F44" s="260"/>
      <c r="G44" s="260"/>
      <c r="H44" s="260"/>
      <c r="I44" s="260"/>
      <c r="J44" s="260"/>
      <c r="K44" s="260"/>
      <c r="L44" s="260"/>
      <c r="M44" s="260"/>
      <c r="N44" s="20"/>
      <c r="O44" s="21"/>
      <c r="P44" s="6"/>
    </row>
    <row r="45" spans="1:16" ht="16.5" x14ac:dyDescent="0.35">
      <c r="A45" s="6"/>
      <c r="B45" s="19"/>
      <c r="C45" s="275"/>
      <c r="D45" s="260"/>
      <c r="E45" s="260"/>
      <c r="F45" s="260"/>
      <c r="G45" s="260"/>
      <c r="H45" s="260"/>
      <c r="I45" s="260"/>
      <c r="J45" s="260"/>
      <c r="K45" s="260"/>
      <c r="L45" s="260"/>
      <c r="M45" s="260"/>
      <c r="N45" s="20"/>
      <c r="O45" s="21"/>
      <c r="P45" s="6"/>
    </row>
    <row r="46" spans="1:16" ht="16.5" x14ac:dyDescent="0.35">
      <c r="A46" s="6"/>
      <c r="B46" s="19"/>
      <c r="C46" s="69"/>
      <c r="D46" s="69"/>
      <c r="E46" s="69"/>
      <c r="F46" s="69"/>
      <c r="G46" s="69"/>
      <c r="H46" s="69"/>
      <c r="I46" s="20"/>
      <c r="J46" s="20"/>
      <c r="K46" s="20"/>
      <c r="L46" s="20"/>
      <c r="M46" s="20"/>
      <c r="N46" s="20"/>
      <c r="O46" s="21"/>
      <c r="P46" s="6"/>
    </row>
    <row r="47" spans="1:16" ht="19.5" x14ac:dyDescent="0.4">
      <c r="A47" s="6"/>
      <c r="B47" s="19"/>
      <c r="C47" s="277" t="s">
        <v>45</v>
      </c>
      <c r="D47" s="260"/>
      <c r="E47" s="68"/>
      <c r="F47" s="69"/>
      <c r="G47" s="69"/>
      <c r="H47" s="69"/>
      <c r="I47" s="69"/>
      <c r="J47" s="261" t="b">
        <v>0</v>
      </c>
      <c r="K47" s="259" t="s">
        <v>46</v>
      </c>
      <c r="L47" s="260"/>
      <c r="M47" s="260"/>
      <c r="N47" s="20"/>
      <c r="O47" s="21"/>
      <c r="P47" s="6"/>
    </row>
    <row r="48" spans="1:16" ht="20.25" customHeight="1" x14ac:dyDescent="0.35">
      <c r="A48" s="6"/>
      <c r="B48" s="19"/>
      <c r="C48" s="274" t="s">
        <v>31</v>
      </c>
      <c r="D48" s="276" t="s">
        <v>47</v>
      </c>
      <c r="E48" s="260"/>
      <c r="F48" s="260"/>
      <c r="G48" s="260"/>
      <c r="H48" s="260"/>
      <c r="I48" s="260"/>
      <c r="J48" s="260"/>
      <c r="K48" s="260"/>
      <c r="L48" s="260"/>
      <c r="M48" s="260"/>
      <c r="N48" s="20"/>
      <c r="O48" s="21"/>
      <c r="P48" s="6"/>
    </row>
    <row r="49" spans="1:16" ht="31.5" customHeight="1" x14ac:dyDescent="0.35">
      <c r="A49" s="6"/>
      <c r="B49" s="19"/>
      <c r="C49" s="275"/>
      <c r="D49" s="260"/>
      <c r="E49" s="260"/>
      <c r="F49" s="260"/>
      <c r="G49" s="260"/>
      <c r="H49" s="260"/>
      <c r="I49" s="260"/>
      <c r="J49" s="260"/>
      <c r="K49" s="260"/>
      <c r="L49" s="260"/>
      <c r="M49" s="260"/>
      <c r="N49" s="20"/>
      <c r="O49" s="21"/>
      <c r="P49" s="6"/>
    </row>
    <row r="50" spans="1:16" ht="28.5" x14ac:dyDescent="0.55000000000000004">
      <c r="A50" s="6"/>
      <c r="B50" s="19"/>
      <c r="C50" s="68"/>
      <c r="D50" s="68"/>
      <c r="E50" s="69"/>
      <c r="F50" s="69"/>
      <c r="G50" s="69"/>
      <c r="H50" s="69"/>
      <c r="I50" s="71"/>
      <c r="J50" s="72"/>
      <c r="K50" s="70"/>
      <c r="L50" s="70"/>
      <c r="M50" s="70"/>
      <c r="N50" s="20"/>
      <c r="O50" s="21"/>
      <c r="P50" s="6"/>
    </row>
    <row r="51" spans="1:16" ht="19.5" x14ac:dyDescent="0.4">
      <c r="A51" s="6"/>
      <c r="B51" s="19"/>
      <c r="C51" s="277" t="s">
        <v>48</v>
      </c>
      <c r="D51" s="260"/>
      <c r="E51" s="68"/>
      <c r="F51" s="69"/>
      <c r="G51" s="69"/>
      <c r="H51" s="69"/>
      <c r="I51" s="69"/>
      <c r="J51" s="261" t="b">
        <v>0</v>
      </c>
      <c r="K51" s="259" t="s">
        <v>49</v>
      </c>
      <c r="L51" s="260"/>
      <c r="M51" s="260"/>
      <c r="N51" s="20"/>
      <c r="O51" s="21"/>
      <c r="P51" s="6"/>
    </row>
    <row r="52" spans="1:16" ht="16.5" x14ac:dyDescent="0.35">
      <c r="A52" s="6"/>
      <c r="B52" s="19"/>
      <c r="C52" s="278" t="s">
        <v>35</v>
      </c>
      <c r="D52" s="300" t="s">
        <v>2499</v>
      </c>
      <c r="E52" s="260"/>
      <c r="F52" s="260"/>
      <c r="G52" s="260"/>
      <c r="H52" s="260"/>
      <c r="I52" s="260"/>
      <c r="J52" s="260"/>
      <c r="K52" s="260"/>
      <c r="L52" s="260"/>
      <c r="M52" s="260"/>
      <c r="N52" s="20"/>
      <c r="O52" s="21"/>
      <c r="P52" s="6"/>
    </row>
    <row r="53" spans="1:16" ht="16.5" x14ac:dyDescent="0.35">
      <c r="A53" s="6"/>
      <c r="B53" s="19"/>
      <c r="C53" s="275"/>
      <c r="D53" s="260"/>
      <c r="E53" s="260"/>
      <c r="F53" s="260"/>
      <c r="G53" s="260"/>
      <c r="H53" s="260"/>
      <c r="I53" s="260"/>
      <c r="J53" s="260"/>
      <c r="K53" s="260"/>
      <c r="L53" s="260"/>
      <c r="M53" s="260"/>
      <c r="N53" s="20"/>
      <c r="O53" s="21"/>
      <c r="P53" s="6"/>
    </row>
    <row r="54" spans="1:16" ht="28.5" x14ac:dyDescent="0.55000000000000004">
      <c r="A54" s="6"/>
      <c r="B54" s="22"/>
      <c r="C54" s="73"/>
      <c r="D54" s="73"/>
      <c r="E54" s="73"/>
      <c r="F54" s="73"/>
      <c r="G54" s="73"/>
      <c r="H54" s="73"/>
      <c r="I54" s="73"/>
      <c r="J54" s="74"/>
      <c r="K54" s="75"/>
      <c r="L54" s="75"/>
      <c r="M54" s="75"/>
      <c r="N54" s="76"/>
      <c r="O54" s="77"/>
      <c r="P54" s="6"/>
    </row>
    <row r="55" spans="1:16" ht="16.5" x14ac:dyDescent="0.35">
      <c r="A55" s="6"/>
      <c r="B55" s="6"/>
      <c r="C55" s="6"/>
      <c r="D55" s="6"/>
      <c r="E55" s="6"/>
      <c r="F55" s="6"/>
      <c r="G55" s="6"/>
      <c r="H55" s="6"/>
      <c r="I55" s="6"/>
      <c r="J55" s="6"/>
      <c r="K55" s="6"/>
      <c r="L55" s="6"/>
      <c r="M55" s="6"/>
      <c r="N55" s="6"/>
      <c r="O55" s="6"/>
      <c r="P55" s="6"/>
    </row>
    <row r="56" spans="1:16" ht="16.5" x14ac:dyDescent="0.35">
      <c r="A56" s="6"/>
      <c r="B56" s="59"/>
      <c r="C56" s="60"/>
      <c r="D56" s="60"/>
      <c r="E56" s="60"/>
      <c r="F56" s="60"/>
      <c r="G56" s="60"/>
      <c r="H56" s="60"/>
      <c r="I56" s="60"/>
      <c r="J56" s="60"/>
      <c r="K56" s="60"/>
      <c r="L56" s="60"/>
      <c r="M56" s="60"/>
      <c r="N56" s="60"/>
      <c r="O56" s="61"/>
      <c r="P56" s="6"/>
    </row>
    <row r="57" spans="1:16" ht="28.5" x14ac:dyDescent="0.55000000000000004">
      <c r="A57" s="6"/>
      <c r="B57" s="62"/>
      <c r="C57" s="63" t="s">
        <v>50</v>
      </c>
      <c r="D57" s="64"/>
      <c r="E57" s="64"/>
      <c r="F57" s="64"/>
      <c r="G57" s="65"/>
      <c r="H57" s="65"/>
      <c r="I57" s="65"/>
      <c r="J57" s="262" t="s">
        <v>51</v>
      </c>
      <c r="K57" s="263"/>
      <c r="L57" s="263"/>
      <c r="M57" s="263"/>
      <c r="N57" s="20"/>
      <c r="O57" s="21"/>
      <c r="P57" s="6"/>
    </row>
    <row r="58" spans="1:16" ht="19.5" x14ac:dyDescent="0.4">
      <c r="A58" s="6"/>
      <c r="B58" s="19"/>
      <c r="C58" s="66"/>
      <c r="D58" s="66"/>
      <c r="E58" s="20"/>
      <c r="F58" s="20"/>
      <c r="G58" s="20"/>
      <c r="H58" s="20"/>
      <c r="I58" s="20"/>
      <c r="J58" s="78"/>
      <c r="K58" s="79"/>
      <c r="L58" s="78"/>
      <c r="M58" s="78"/>
      <c r="N58" s="20"/>
      <c r="O58" s="21"/>
      <c r="P58" s="6"/>
    </row>
    <row r="59" spans="1:16" ht="19.5" x14ac:dyDescent="0.4">
      <c r="A59" s="6"/>
      <c r="B59" s="19"/>
      <c r="C59" s="277" t="s">
        <v>52</v>
      </c>
      <c r="D59" s="260"/>
      <c r="E59" s="68"/>
      <c r="F59" s="69"/>
      <c r="G59" s="69"/>
      <c r="H59" s="69"/>
      <c r="I59" s="69"/>
      <c r="J59" s="261" t="b">
        <v>1</v>
      </c>
      <c r="K59" s="259" t="s">
        <v>53</v>
      </c>
      <c r="L59" s="260"/>
      <c r="M59" s="260"/>
      <c r="N59" s="20"/>
      <c r="O59" s="21"/>
      <c r="P59" s="6"/>
    </row>
    <row r="60" spans="1:16" ht="20.25" customHeight="1" x14ac:dyDescent="0.35">
      <c r="A60" s="6"/>
      <c r="B60" s="19"/>
      <c r="C60" s="278" t="s">
        <v>54</v>
      </c>
      <c r="D60" s="276" t="s">
        <v>55</v>
      </c>
      <c r="E60" s="260"/>
      <c r="F60" s="260"/>
      <c r="G60" s="260"/>
      <c r="H60" s="260"/>
      <c r="I60" s="260"/>
      <c r="J60" s="260"/>
      <c r="K60" s="260"/>
      <c r="L60" s="260"/>
      <c r="M60" s="260"/>
      <c r="N60" s="20"/>
      <c r="O60" s="21"/>
      <c r="P60" s="6"/>
    </row>
    <row r="61" spans="1:16" ht="29.25" customHeight="1" x14ac:dyDescent="0.35">
      <c r="A61" s="6"/>
      <c r="B61" s="19"/>
      <c r="C61" s="275"/>
      <c r="D61" s="260"/>
      <c r="E61" s="260"/>
      <c r="F61" s="260"/>
      <c r="G61" s="260"/>
      <c r="H61" s="260"/>
      <c r="I61" s="260"/>
      <c r="J61" s="260"/>
      <c r="K61" s="260"/>
      <c r="L61" s="260"/>
      <c r="M61" s="260"/>
      <c r="N61" s="20"/>
      <c r="O61" s="21"/>
      <c r="P61" s="6"/>
    </row>
    <row r="62" spans="1:16" ht="19.5" x14ac:dyDescent="0.4">
      <c r="A62" s="6"/>
      <c r="B62" s="19"/>
      <c r="C62" s="66"/>
      <c r="D62" s="68"/>
      <c r="E62" s="69"/>
      <c r="F62" s="69"/>
      <c r="G62" s="69"/>
      <c r="H62" s="69"/>
      <c r="I62" s="69"/>
      <c r="J62" s="78"/>
      <c r="K62" s="79"/>
      <c r="L62" s="78"/>
      <c r="M62" s="78"/>
      <c r="N62" s="20"/>
      <c r="O62" s="21"/>
      <c r="P62" s="6"/>
    </row>
    <row r="63" spans="1:16" ht="19.5" x14ac:dyDescent="0.4">
      <c r="A63" s="6"/>
      <c r="B63" s="19"/>
      <c r="C63" s="277" t="s">
        <v>56</v>
      </c>
      <c r="D63" s="260"/>
      <c r="E63" s="68"/>
      <c r="F63" s="69"/>
      <c r="G63" s="69"/>
      <c r="H63" s="69"/>
      <c r="I63" s="69"/>
      <c r="J63" s="261" t="b">
        <v>1</v>
      </c>
      <c r="K63" s="259" t="s">
        <v>57</v>
      </c>
      <c r="L63" s="260"/>
      <c r="M63" s="260"/>
      <c r="N63" s="20"/>
      <c r="O63" s="21"/>
      <c r="P63" s="6"/>
    </row>
    <row r="64" spans="1:16" ht="19.5" customHeight="1" x14ac:dyDescent="0.35">
      <c r="A64" s="6"/>
      <c r="B64" s="19"/>
      <c r="C64" s="278" t="s">
        <v>35</v>
      </c>
      <c r="D64" s="300" t="s">
        <v>2500</v>
      </c>
      <c r="E64" s="260"/>
      <c r="F64" s="260"/>
      <c r="G64" s="260"/>
      <c r="H64" s="260"/>
      <c r="I64" s="260"/>
      <c r="J64" s="260"/>
      <c r="K64" s="260"/>
      <c r="L64" s="260"/>
      <c r="M64" s="260"/>
      <c r="N64" s="20"/>
      <c r="O64" s="21"/>
      <c r="P64" s="6"/>
    </row>
    <row r="65" spans="1:16" ht="19.5" customHeight="1" x14ac:dyDescent="0.35">
      <c r="A65" s="6"/>
      <c r="B65" s="19"/>
      <c r="C65" s="275"/>
      <c r="D65" s="260"/>
      <c r="E65" s="260"/>
      <c r="F65" s="260"/>
      <c r="G65" s="260"/>
      <c r="H65" s="260"/>
      <c r="I65" s="260"/>
      <c r="J65" s="260"/>
      <c r="K65" s="260"/>
      <c r="L65" s="260"/>
      <c r="M65" s="260"/>
      <c r="N65" s="20"/>
      <c r="O65" s="21"/>
      <c r="P65" s="6"/>
    </row>
    <row r="66" spans="1:16" ht="19.5" x14ac:dyDescent="0.4">
      <c r="A66" s="6"/>
      <c r="B66" s="19"/>
      <c r="C66" s="66"/>
      <c r="D66" s="68"/>
      <c r="E66" s="69"/>
      <c r="F66" s="69"/>
      <c r="G66" s="69"/>
      <c r="H66" s="69"/>
      <c r="I66" s="69"/>
      <c r="J66" s="78"/>
      <c r="K66" s="79"/>
      <c r="L66" s="78"/>
      <c r="M66" s="78"/>
      <c r="N66" s="20"/>
      <c r="O66" s="21"/>
      <c r="P66" s="6"/>
    </row>
    <row r="67" spans="1:16" ht="19.5" x14ac:dyDescent="0.4">
      <c r="A67" s="6"/>
      <c r="B67" s="19"/>
      <c r="C67" s="277" t="s">
        <v>58</v>
      </c>
      <c r="D67" s="260"/>
      <c r="E67" s="68"/>
      <c r="F67" s="69"/>
      <c r="G67" s="69"/>
      <c r="H67" s="69"/>
      <c r="I67" s="69"/>
      <c r="J67" s="261" t="b">
        <v>1</v>
      </c>
      <c r="K67" s="259" t="s">
        <v>59</v>
      </c>
      <c r="L67" s="260"/>
      <c r="M67" s="260"/>
      <c r="N67" s="20"/>
      <c r="O67" s="21"/>
      <c r="P67" s="6"/>
    </row>
    <row r="68" spans="1:16" ht="16.5" x14ac:dyDescent="0.35">
      <c r="A68" s="6"/>
      <c r="B68" s="19"/>
      <c r="C68" s="278" t="s">
        <v>43</v>
      </c>
      <c r="D68" s="276" t="s">
        <v>60</v>
      </c>
      <c r="E68" s="260"/>
      <c r="F68" s="260"/>
      <c r="G68" s="260"/>
      <c r="H68" s="260"/>
      <c r="I68" s="260"/>
      <c r="J68" s="260"/>
      <c r="K68" s="260"/>
      <c r="L68" s="260"/>
      <c r="M68" s="260"/>
      <c r="N68" s="20"/>
      <c r="O68" s="21"/>
      <c r="P68" s="6"/>
    </row>
    <row r="69" spans="1:16" ht="16.5" x14ac:dyDescent="0.35">
      <c r="A69" s="6"/>
      <c r="B69" s="19"/>
      <c r="C69" s="275"/>
      <c r="D69" s="260"/>
      <c r="E69" s="260"/>
      <c r="F69" s="260"/>
      <c r="G69" s="260"/>
      <c r="H69" s="260"/>
      <c r="I69" s="260"/>
      <c r="J69" s="260"/>
      <c r="K69" s="260"/>
      <c r="L69" s="260"/>
      <c r="M69" s="260"/>
      <c r="N69" s="20"/>
      <c r="O69" s="21"/>
      <c r="P69" s="6"/>
    </row>
    <row r="70" spans="1:16" ht="19.5" x14ac:dyDescent="0.4">
      <c r="A70" s="6"/>
      <c r="B70" s="22"/>
      <c r="C70" s="279"/>
      <c r="D70" s="268"/>
      <c r="E70" s="80"/>
      <c r="F70" s="80"/>
      <c r="G70" s="80"/>
      <c r="H70" s="80"/>
      <c r="I70" s="76"/>
      <c r="J70" s="81"/>
      <c r="K70" s="82"/>
      <c r="L70" s="81"/>
      <c r="M70" s="81"/>
      <c r="N70" s="76"/>
      <c r="O70" s="77"/>
      <c r="P70" s="6"/>
    </row>
    <row r="71" spans="1:16" ht="16.5" x14ac:dyDescent="0.35">
      <c r="A71" s="6"/>
      <c r="B71" s="6"/>
      <c r="C71" s="6"/>
      <c r="D71" s="6"/>
      <c r="E71" s="6"/>
      <c r="F71" s="6"/>
      <c r="G71" s="6"/>
      <c r="H71" s="6"/>
      <c r="I71" s="6"/>
      <c r="J71" s="6"/>
      <c r="K71" s="6"/>
      <c r="L71" s="6"/>
      <c r="M71" s="6"/>
      <c r="N71" s="6"/>
      <c r="O71" s="6"/>
      <c r="P71" s="6"/>
    </row>
    <row r="72" spans="1:16" ht="16.5" x14ac:dyDescent="0.35">
      <c r="A72" s="6"/>
      <c r="B72" s="83"/>
      <c r="C72" s="30"/>
      <c r="D72" s="30"/>
      <c r="E72" s="30"/>
      <c r="F72" s="30"/>
      <c r="G72" s="30"/>
      <c r="H72" s="30"/>
      <c r="I72" s="30"/>
      <c r="J72" s="30"/>
      <c r="K72" s="30"/>
      <c r="L72" s="30"/>
      <c r="M72" s="30"/>
      <c r="N72" s="30"/>
      <c r="O72" s="32"/>
      <c r="P72" s="6"/>
    </row>
    <row r="73" spans="1:16" ht="28.5" x14ac:dyDescent="0.55000000000000004">
      <c r="A73" s="6"/>
      <c r="B73" s="35"/>
      <c r="C73" s="63" t="s">
        <v>61</v>
      </c>
      <c r="D73" s="64"/>
      <c r="E73" s="64"/>
      <c r="F73" s="64"/>
      <c r="G73" s="65"/>
      <c r="H73" s="65"/>
      <c r="I73" s="65"/>
      <c r="J73" s="262"/>
      <c r="K73" s="263"/>
      <c r="L73" s="263"/>
      <c r="M73" s="263"/>
      <c r="N73" s="20"/>
      <c r="O73" s="37"/>
      <c r="P73" s="6"/>
    </row>
    <row r="74" spans="1:16" ht="16.5" x14ac:dyDescent="0.35">
      <c r="A74" s="6"/>
      <c r="B74" s="35"/>
      <c r="C74" s="20"/>
      <c r="D74" s="20"/>
      <c r="E74" s="20"/>
      <c r="F74" s="20"/>
      <c r="G74" s="20"/>
      <c r="H74" s="20"/>
      <c r="I74" s="20"/>
      <c r="J74" s="20"/>
      <c r="K74" s="20"/>
      <c r="L74" s="20"/>
      <c r="M74" s="20"/>
      <c r="N74" s="20"/>
      <c r="O74" s="37"/>
      <c r="P74" s="6"/>
    </row>
    <row r="75" spans="1:16" ht="16.5" x14ac:dyDescent="0.35">
      <c r="A75" s="6"/>
      <c r="B75" s="35"/>
      <c r="C75" s="280" t="s">
        <v>62</v>
      </c>
      <c r="D75" s="260"/>
      <c r="E75" s="260"/>
      <c r="F75" s="260"/>
      <c r="G75" s="260"/>
      <c r="H75" s="260"/>
      <c r="I75" s="260"/>
      <c r="J75" s="260"/>
      <c r="K75" s="260"/>
      <c r="L75" s="260"/>
      <c r="M75" s="260"/>
      <c r="N75" s="20"/>
      <c r="O75" s="37"/>
      <c r="P75" s="6"/>
    </row>
    <row r="76" spans="1:16" ht="16.5" x14ac:dyDescent="0.35">
      <c r="A76" s="6"/>
      <c r="B76" s="35"/>
      <c r="C76" s="260"/>
      <c r="D76" s="260"/>
      <c r="E76" s="260"/>
      <c r="F76" s="260"/>
      <c r="G76" s="260"/>
      <c r="H76" s="260"/>
      <c r="I76" s="260"/>
      <c r="J76" s="260"/>
      <c r="K76" s="260"/>
      <c r="L76" s="260"/>
      <c r="M76" s="260"/>
      <c r="N76" s="20"/>
      <c r="O76" s="37"/>
      <c r="P76" s="6"/>
    </row>
    <row r="77" spans="1:16" ht="25.5" customHeight="1" x14ac:dyDescent="0.35">
      <c r="A77" s="6"/>
      <c r="B77" s="35"/>
      <c r="C77" s="260"/>
      <c r="D77" s="260"/>
      <c r="E77" s="260"/>
      <c r="F77" s="260"/>
      <c r="G77" s="260"/>
      <c r="H77" s="260"/>
      <c r="I77" s="260"/>
      <c r="J77" s="260"/>
      <c r="K77" s="260"/>
      <c r="L77" s="260"/>
      <c r="M77" s="260"/>
      <c r="N77" s="20"/>
      <c r="O77" s="37"/>
      <c r="P77" s="6"/>
    </row>
    <row r="78" spans="1:16" ht="16.5" x14ac:dyDescent="0.35">
      <c r="A78" s="6"/>
      <c r="B78" s="35"/>
      <c r="C78" s="280" t="s">
        <v>63</v>
      </c>
      <c r="D78" s="260"/>
      <c r="E78" s="260"/>
      <c r="F78" s="260"/>
      <c r="G78" s="260"/>
      <c r="H78" s="260"/>
      <c r="I78" s="260"/>
      <c r="J78" s="260"/>
      <c r="K78" s="260"/>
      <c r="L78" s="260"/>
      <c r="M78" s="260"/>
      <c r="N78" s="20"/>
      <c r="O78" s="37"/>
      <c r="P78" s="6"/>
    </row>
    <row r="79" spans="1:16" ht="16.5" x14ac:dyDescent="0.35">
      <c r="A79" s="6"/>
      <c r="B79" s="35"/>
      <c r="C79" s="260"/>
      <c r="D79" s="260"/>
      <c r="E79" s="260"/>
      <c r="F79" s="260"/>
      <c r="G79" s="260"/>
      <c r="H79" s="260"/>
      <c r="I79" s="260"/>
      <c r="J79" s="260"/>
      <c r="K79" s="260"/>
      <c r="L79" s="260"/>
      <c r="M79" s="260"/>
      <c r="N79" s="20"/>
      <c r="O79" s="37"/>
      <c r="P79" s="6"/>
    </row>
    <row r="80" spans="1:16" ht="27.75" customHeight="1" x14ac:dyDescent="0.35">
      <c r="A80" s="6"/>
      <c r="B80" s="35"/>
      <c r="C80" s="260"/>
      <c r="D80" s="260"/>
      <c r="E80" s="260"/>
      <c r="F80" s="260"/>
      <c r="G80" s="260"/>
      <c r="H80" s="260"/>
      <c r="I80" s="260"/>
      <c r="J80" s="260"/>
      <c r="K80" s="260"/>
      <c r="L80" s="260"/>
      <c r="M80" s="260"/>
      <c r="N80" s="20"/>
      <c r="O80" s="37"/>
      <c r="P80" s="6"/>
    </row>
    <row r="81" spans="1:16" ht="16.5" x14ac:dyDescent="0.35">
      <c r="A81" s="6"/>
      <c r="B81" s="35"/>
      <c r="C81" s="301" t="s">
        <v>2501</v>
      </c>
      <c r="D81" s="260"/>
      <c r="E81" s="260"/>
      <c r="F81" s="260"/>
      <c r="G81" s="260"/>
      <c r="H81" s="260"/>
      <c r="I81" s="260"/>
      <c r="J81" s="260"/>
      <c r="K81" s="260"/>
      <c r="L81" s="260"/>
      <c r="M81" s="260"/>
      <c r="N81" s="20"/>
      <c r="O81" s="37"/>
      <c r="P81" s="6"/>
    </row>
    <row r="82" spans="1:16" ht="16.5" x14ac:dyDescent="0.35">
      <c r="A82" s="6"/>
      <c r="B82" s="35"/>
      <c r="C82" s="260"/>
      <c r="D82" s="260"/>
      <c r="E82" s="260"/>
      <c r="F82" s="260"/>
      <c r="G82" s="260"/>
      <c r="H82" s="260"/>
      <c r="I82" s="260"/>
      <c r="J82" s="260"/>
      <c r="K82" s="260"/>
      <c r="L82" s="260"/>
      <c r="M82" s="260"/>
      <c r="N82" s="20"/>
      <c r="O82" s="37"/>
      <c r="P82" s="6"/>
    </row>
    <row r="83" spans="1:16" ht="16.5" x14ac:dyDescent="0.35">
      <c r="A83" s="6"/>
      <c r="B83" s="35"/>
      <c r="C83" s="260"/>
      <c r="D83" s="260"/>
      <c r="E83" s="260"/>
      <c r="F83" s="260"/>
      <c r="G83" s="260"/>
      <c r="H83" s="260"/>
      <c r="I83" s="260"/>
      <c r="J83" s="260"/>
      <c r="K83" s="260"/>
      <c r="L83" s="260"/>
      <c r="M83" s="260"/>
      <c r="N83" s="20"/>
      <c r="O83" s="37"/>
      <c r="P83" s="6"/>
    </row>
    <row r="84" spans="1:16" ht="16.5" x14ac:dyDescent="0.35">
      <c r="A84" s="6"/>
      <c r="B84" s="35"/>
      <c r="C84" s="280" t="s">
        <v>64</v>
      </c>
      <c r="D84" s="260"/>
      <c r="E84" s="260"/>
      <c r="F84" s="260"/>
      <c r="G84" s="260"/>
      <c r="H84" s="260"/>
      <c r="I84" s="260"/>
      <c r="J84" s="260"/>
      <c r="K84" s="260"/>
      <c r="L84" s="260"/>
      <c r="M84" s="260"/>
      <c r="N84" s="20"/>
      <c r="O84" s="37"/>
      <c r="P84" s="6"/>
    </row>
    <row r="85" spans="1:16" ht="16.5" x14ac:dyDescent="0.35">
      <c r="A85" s="6"/>
      <c r="B85" s="35"/>
      <c r="C85" s="260"/>
      <c r="D85" s="260"/>
      <c r="E85" s="260"/>
      <c r="F85" s="260"/>
      <c r="G85" s="260"/>
      <c r="H85" s="260"/>
      <c r="I85" s="260"/>
      <c r="J85" s="260"/>
      <c r="K85" s="260"/>
      <c r="L85" s="260"/>
      <c r="M85" s="260"/>
      <c r="N85" s="20"/>
      <c r="O85" s="37"/>
      <c r="P85" s="6"/>
    </row>
    <row r="86" spans="1:16" ht="16.5" x14ac:dyDescent="0.35">
      <c r="A86" s="6"/>
      <c r="B86" s="35"/>
      <c r="C86" s="260"/>
      <c r="D86" s="260"/>
      <c r="E86" s="260"/>
      <c r="F86" s="260"/>
      <c r="G86" s="260"/>
      <c r="H86" s="260"/>
      <c r="I86" s="260"/>
      <c r="J86" s="260"/>
      <c r="K86" s="260"/>
      <c r="L86" s="260"/>
      <c r="M86" s="260"/>
      <c r="N86" s="20"/>
      <c r="O86" s="37"/>
      <c r="P86" s="6"/>
    </row>
    <row r="87" spans="1:16" ht="19.5" x14ac:dyDescent="0.4">
      <c r="A87" s="6"/>
      <c r="B87" s="52"/>
      <c r="C87" s="84"/>
      <c r="D87" s="84"/>
      <c r="E87" s="84"/>
      <c r="F87" s="84"/>
      <c r="G87" s="84"/>
      <c r="H87" s="84"/>
      <c r="I87" s="84"/>
      <c r="J87" s="84"/>
      <c r="K87" s="84"/>
      <c r="L87" s="84"/>
      <c r="M87" s="84"/>
      <c r="N87" s="53"/>
      <c r="O87" s="55"/>
      <c r="P87" s="6"/>
    </row>
    <row r="88" spans="1:16" ht="16.5" x14ac:dyDescent="0.35">
      <c r="A88" s="6"/>
      <c r="B88" s="6"/>
      <c r="C88" s="6"/>
      <c r="D88" s="6"/>
      <c r="E88" s="6"/>
      <c r="F88" s="6"/>
      <c r="G88" s="6"/>
      <c r="H88" s="6"/>
      <c r="I88" s="6"/>
      <c r="J88" s="6"/>
      <c r="K88" s="6"/>
      <c r="L88" s="6"/>
      <c r="M88" s="6"/>
      <c r="N88" s="6"/>
      <c r="O88" s="6"/>
      <c r="P88" s="6"/>
    </row>
    <row r="89" spans="1:16" ht="16.5" x14ac:dyDescent="0.35">
      <c r="A89" s="1"/>
      <c r="B89" s="1"/>
      <c r="C89" s="1"/>
      <c r="D89" s="1"/>
      <c r="E89" s="1"/>
      <c r="F89" s="1"/>
      <c r="G89" s="1"/>
      <c r="H89" s="1"/>
      <c r="I89" s="1"/>
      <c r="J89" s="1"/>
      <c r="K89" s="1"/>
      <c r="L89" s="1"/>
      <c r="M89" s="1"/>
      <c r="N89" s="1"/>
      <c r="O89" s="1"/>
      <c r="P89" s="1"/>
    </row>
  </sheetData>
  <mergeCells count="65">
    <mergeCell ref="C78:M80"/>
    <mergeCell ref="C81:M83"/>
    <mergeCell ref="C84:M86"/>
    <mergeCell ref="C52:C53"/>
    <mergeCell ref="C59:D59"/>
    <mergeCell ref="C60:C61"/>
    <mergeCell ref="D60:I61"/>
    <mergeCell ref="C63:D63"/>
    <mergeCell ref="C64:C65"/>
    <mergeCell ref="D64:I65"/>
    <mergeCell ref="C67:D67"/>
    <mergeCell ref="C68:C69"/>
    <mergeCell ref="D68:I69"/>
    <mergeCell ref="C70:D70"/>
    <mergeCell ref="C75:M77"/>
    <mergeCell ref="C51:D51"/>
    <mergeCell ref="D52:I53"/>
    <mergeCell ref="J51:J53"/>
    <mergeCell ref="J59:J61"/>
    <mergeCell ref="J63:J65"/>
    <mergeCell ref="C44:C45"/>
    <mergeCell ref="D44:I45"/>
    <mergeCell ref="C47:D47"/>
    <mergeCell ref="C48:C49"/>
    <mergeCell ref="D48:I49"/>
    <mergeCell ref="C39:D39"/>
    <mergeCell ref="K39:M41"/>
    <mergeCell ref="C40:C41"/>
    <mergeCell ref="D40:I41"/>
    <mergeCell ref="C43:D43"/>
    <mergeCell ref="J31:J33"/>
    <mergeCell ref="K31:M33"/>
    <mergeCell ref="C32:C33"/>
    <mergeCell ref="D32:I33"/>
    <mergeCell ref="C35:D35"/>
    <mergeCell ref="J35:J37"/>
    <mergeCell ref="K35:M37"/>
    <mergeCell ref="C36:C37"/>
    <mergeCell ref="D36:I37"/>
    <mergeCell ref="K51:M53"/>
    <mergeCell ref="J57:M57"/>
    <mergeCell ref="C1:M2"/>
    <mergeCell ref="L3:M6"/>
    <mergeCell ref="C4:D5"/>
    <mergeCell ref="F5:H5"/>
    <mergeCell ref="C8:M9"/>
    <mergeCell ref="L15:M15"/>
    <mergeCell ref="L16:M16"/>
    <mergeCell ref="L17:M17"/>
    <mergeCell ref="L18:M18"/>
    <mergeCell ref="L19:M19"/>
    <mergeCell ref="L20:M20"/>
    <mergeCell ref="L22:M22"/>
    <mergeCell ref="L24:M24"/>
    <mergeCell ref="J29:M29"/>
    <mergeCell ref="J39:J41"/>
    <mergeCell ref="J43:J45"/>
    <mergeCell ref="K43:M45"/>
    <mergeCell ref="J47:J49"/>
    <mergeCell ref="K47:M49"/>
    <mergeCell ref="K59:M61"/>
    <mergeCell ref="K63:M65"/>
    <mergeCell ref="J67:J69"/>
    <mergeCell ref="K67:M69"/>
    <mergeCell ref="J73:M73"/>
  </mergeCells>
  <conditionalFormatting sqref="C32 C34 C36:C38 C40:C42 C44:C46 C48:C50 C52:C53 C60:C61 C64:C65 C68:C69">
    <cfRule type="cellIs" dxfId="42" priority="2" operator="equal">
      <formula>"B"</formula>
    </cfRule>
    <cfRule type="cellIs" dxfId="41" priority="3" operator="equal">
      <formula>"C"</formula>
    </cfRule>
  </conditionalFormatting>
  <conditionalFormatting sqref="C32:C34 C36:C38 C40:C42 C44:C46 C48:C50 C52:C53 C60:C61 C64:C65 C68:C69">
    <cfRule type="cellIs" dxfId="40" priority="1" operator="equal">
      <formula>"A"</formula>
    </cfRule>
  </conditionalFormatting>
  <conditionalFormatting sqref="C32:I71 C73:I73">
    <cfRule type="cellIs" dxfId="39" priority="7" operator="equal">
      <formula>"D"</formula>
    </cfRule>
  </conditionalFormatting>
  <conditionalFormatting sqref="I18:I22">
    <cfRule type="colorScale" priority="4">
      <colorScale>
        <cfvo type="min"/>
        <cfvo type="max"/>
        <color rgb="FF94D8F2"/>
        <color rgb="FF26B8EF"/>
      </colorScale>
    </cfRule>
  </conditionalFormatting>
  <conditionalFormatting sqref="J18:J22">
    <cfRule type="colorScale" priority="5">
      <colorScale>
        <cfvo type="min"/>
        <cfvo type="max"/>
        <color rgb="FF94D8F2"/>
        <color rgb="FF26B8EF"/>
      </colorScale>
    </cfRule>
  </conditionalFormatting>
  <conditionalFormatting sqref="L18:M22">
    <cfRule type="colorScale" priority="6">
      <colorScale>
        <cfvo type="min"/>
        <cfvo type="max"/>
        <color rgb="FFFE7CD2"/>
        <color rgb="FFEA25A7"/>
      </colorScale>
    </cfRule>
  </conditionalFormatting>
  <dataValidations count="1">
    <dataValidation type="custom" allowBlank="1" showDropDown="1" sqref="F5" xr:uid="{00000000-0002-0000-0000-000000000000}">
      <formula1>OR(NOT(ISERROR(DATEVALUE(F5))), AND(ISNUMBER(F5), LEFT(CELL("format", F5))="D"))</formula1>
    </dataValidation>
  </dataValidations>
  <hyperlinks>
    <hyperlink ref="D15" location="'On-Page SEO'!A1" display="On-Page SEO" xr:uid="{00000000-0004-0000-0000-000000000000}"/>
    <hyperlink ref="D16" location="Keywords!A1" display="Keyword Research" xr:uid="{00000000-0004-0000-0000-000001000000}"/>
    <hyperlink ref="D17" location="'Keyword Gap'!A1" display="Keyword Gap Analysis" xr:uid="{00000000-0004-0000-0000-000002000000}"/>
    <hyperlink ref="D18" location="'SEO Installation'!A1" display="SEO Installation" xr:uid="{00000000-0004-0000-0000-000003000000}"/>
    <hyperlink ref="D19" location="'URL Equity'!A1" display="URL Equity" xr:uid="{00000000-0004-0000-0000-000004000000}"/>
    <hyperlink ref="D20" location="'Backlink Gap'!A1" display="Backlink Gap Analysis" xr:uid="{00000000-0004-0000-0000-000005000000}"/>
    <hyperlink ref="D21" location="'Redirect Chains'!A1" display="Redirect Chains" xr:uid="{00000000-0004-0000-0000-000006000000}"/>
    <hyperlink ref="D22" location="'Redirect Mapping'!A1" display="Redirect Mapping" xr:uid="{00000000-0004-0000-0000-000007000000}"/>
    <hyperlink ref="D23" location="Comparison!A1" display="Competitor Comparison" xr:uid="{00000000-0004-0000-0000-000008000000}"/>
    <hyperlink ref="D24" location="'Content Audit'!A1" display="Content Audit" xr:uid="{00000000-0004-0000-0000-000009000000}"/>
    <hyperlink ref="D25" location="PageSpeedSchema!A1" display="PageSpeed/Schema" xr:uid="{00000000-0004-0000-0000-00000A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S24"/>
  <sheetViews>
    <sheetView showGridLines="0" workbookViewId="0"/>
  </sheetViews>
  <sheetFormatPr defaultColWidth="12.5703125" defaultRowHeight="15.75" customHeight="1" x14ac:dyDescent="0.2"/>
  <cols>
    <col min="1" max="1" width="2.7109375" customWidth="1"/>
    <col min="2" max="2" width="31.42578125" customWidth="1"/>
    <col min="3" max="4" width="2.7109375" customWidth="1"/>
    <col min="5" max="5" width="18.140625" customWidth="1"/>
    <col min="6" max="6" width="2.7109375" customWidth="1"/>
    <col min="7" max="7" width="18.140625" customWidth="1"/>
    <col min="8" max="8" width="2.7109375" customWidth="1"/>
    <col min="9" max="9" width="18.140625" customWidth="1"/>
    <col min="10" max="10" width="2.7109375" customWidth="1"/>
    <col min="11" max="11" width="4.42578125" customWidth="1"/>
    <col min="12" max="12" width="2.7109375" customWidth="1"/>
    <col min="13" max="13" width="16.85546875" customWidth="1"/>
    <col min="14" max="14" width="2.7109375" customWidth="1"/>
    <col min="19" max="19" width="2.7109375" customWidth="1"/>
  </cols>
  <sheetData>
    <row r="1" spans="1:19" ht="16.5" x14ac:dyDescent="0.35">
      <c r="A1" s="168"/>
      <c r="B1" s="168"/>
      <c r="C1" s="20"/>
      <c r="D1" s="20"/>
      <c r="E1" s="20"/>
      <c r="F1" s="20"/>
      <c r="G1" s="20"/>
      <c r="H1" s="20"/>
      <c r="I1" s="20"/>
      <c r="J1" s="20"/>
      <c r="K1" s="20"/>
      <c r="L1" s="20"/>
      <c r="M1" s="20"/>
      <c r="N1" s="20"/>
      <c r="O1" s="20"/>
      <c r="P1" s="20"/>
      <c r="Q1" s="20"/>
      <c r="R1" s="20"/>
      <c r="S1" s="20"/>
    </row>
    <row r="2" spans="1:19" ht="28.5" x14ac:dyDescent="0.55000000000000004">
      <c r="A2" s="155"/>
      <c r="B2" s="155" t="s">
        <v>1685</v>
      </c>
      <c r="C2" s="20"/>
      <c r="D2" s="20"/>
      <c r="E2" s="208"/>
      <c r="F2" s="20"/>
      <c r="G2" s="20"/>
      <c r="H2" s="20"/>
      <c r="I2" s="20"/>
      <c r="J2" s="20"/>
      <c r="K2" s="20"/>
      <c r="L2" s="20"/>
      <c r="M2" s="208"/>
      <c r="N2" s="20"/>
      <c r="O2" s="20"/>
      <c r="P2" s="20"/>
      <c r="Q2" s="20"/>
      <c r="R2" s="20"/>
      <c r="S2" s="20"/>
    </row>
    <row r="3" spans="1:19" ht="28.5" x14ac:dyDescent="0.55000000000000004">
      <c r="A3" s="155"/>
      <c r="B3" s="155" t="s">
        <v>1686</v>
      </c>
      <c r="C3" s="20"/>
      <c r="D3" s="20"/>
      <c r="E3" s="208"/>
      <c r="F3" s="20"/>
      <c r="G3" s="20"/>
      <c r="H3" s="20"/>
      <c r="I3" s="20"/>
      <c r="J3" s="20"/>
      <c r="K3" s="20"/>
      <c r="L3" s="20"/>
      <c r="M3" s="208"/>
      <c r="N3" s="20"/>
      <c r="O3" s="20"/>
      <c r="P3" s="20"/>
      <c r="Q3" s="20"/>
      <c r="R3" s="20"/>
      <c r="S3" s="20"/>
    </row>
    <row r="4" spans="1:19" ht="28.5" x14ac:dyDescent="0.55000000000000004">
      <c r="A4" s="155"/>
      <c r="B4" s="155"/>
      <c r="C4" s="20"/>
      <c r="D4" s="209"/>
      <c r="E4" s="210" t="s">
        <v>1687</v>
      </c>
      <c r="F4" s="211"/>
      <c r="G4" s="211"/>
      <c r="H4" s="211"/>
      <c r="I4" s="211"/>
      <c r="J4" s="212"/>
      <c r="K4" s="20"/>
      <c r="L4" s="209"/>
      <c r="M4" s="210" t="s">
        <v>1688</v>
      </c>
      <c r="N4" s="211"/>
      <c r="O4" s="211"/>
      <c r="P4" s="211"/>
      <c r="Q4" s="211"/>
      <c r="R4" s="212"/>
      <c r="S4" s="20"/>
    </row>
    <row r="5" spans="1:19" ht="19.5" x14ac:dyDescent="0.4">
      <c r="A5" s="168"/>
      <c r="B5" s="166" t="s">
        <v>1689</v>
      </c>
      <c r="C5" s="20"/>
      <c r="D5" s="213"/>
      <c r="E5" s="20"/>
      <c r="F5" s="20"/>
      <c r="G5" s="20"/>
      <c r="H5" s="20"/>
      <c r="I5" s="20"/>
      <c r="J5" s="214"/>
      <c r="K5" s="20"/>
      <c r="L5" s="213"/>
      <c r="M5" s="20"/>
      <c r="N5" s="20"/>
      <c r="O5" s="215"/>
      <c r="P5" s="20"/>
      <c r="Q5" s="20"/>
      <c r="R5" s="214"/>
      <c r="S5" s="20"/>
    </row>
    <row r="6" spans="1:19" ht="19.5" x14ac:dyDescent="0.4">
      <c r="A6" s="168"/>
      <c r="B6" s="216"/>
      <c r="C6" s="20"/>
      <c r="D6" s="213"/>
      <c r="E6" s="20"/>
      <c r="F6" s="20"/>
      <c r="G6" s="20"/>
      <c r="H6" s="20"/>
      <c r="I6" s="20"/>
      <c r="J6" s="214"/>
      <c r="K6" s="20"/>
      <c r="L6" s="213"/>
      <c r="M6" s="20"/>
      <c r="N6" s="20"/>
      <c r="O6" s="215"/>
      <c r="P6" s="20"/>
      <c r="Q6" s="20"/>
      <c r="R6" s="214"/>
      <c r="S6" s="20"/>
    </row>
    <row r="7" spans="1:19" ht="22.5" x14ac:dyDescent="0.45">
      <c r="A7" s="168"/>
      <c r="B7" s="217" t="str">
        <f>HYPERLINK("https://www.examplebusiness.com/","https://www.examplebusiness.com/")</f>
        <v>https://www.examplebusiness.com/</v>
      </c>
      <c r="C7" s="20"/>
      <c r="D7" s="213"/>
      <c r="E7" s="218" t="s">
        <v>1690</v>
      </c>
      <c r="F7" s="65"/>
      <c r="G7" s="20"/>
      <c r="H7" s="20"/>
      <c r="I7" s="20"/>
      <c r="J7" s="214"/>
      <c r="K7" s="20"/>
      <c r="L7" s="213"/>
      <c r="M7" s="218" t="s">
        <v>1691</v>
      </c>
      <c r="N7" s="20"/>
      <c r="O7" s="20"/>
      <c r="P7" s="20"/>
      <c r="Q7" s="20"/>
      <c r="R7" s="214"/>
      <c r="S7" s="20"/>
    </row>
    <row r="8" spans="1:19" ht="16.5" x14ac:dyDescent="0.35">
      <c r="A8" s="168"/>
      <c r="B8" s="168"/>
      <c r="C8" s="20"/>
      <c r="D8" s="213"/>
      <c r="E8" s="20"/>
      <c r="F8" s="20"/>
      <c r="G8" s="20"/>
      <c r="H8" s="20"/>
      <c r="I8" s="20"/>
      <c r="J8" s="214"/>
      <c r="K8" s="20"/>
      <c r="L8" s="213"/>
      <c r="M8" s="20"/>
      <c r="N8" s="20"/>
      <c r="O8" s="20"/>
      <c r="P8" s="20"/>
      <c r="Q8" s="20"/>
      <c r="R8" s="214"/>
      <c r="S8" s="20"/>
    </row>
    <row r="9" spans="1:19" ht="19.5" x14ac:dyDescent="0.4">
      <c r="A9" s="168"/>
      <c r="B9" s="219"/>
      <c r="C9" s="20"/>
      <c r="D9" s="213"/>
      <c r="E9" s="189" t="s">
        <v>1692</v>
      </c>
      <c r="F9" s="175"/>
      <c r="G9" s="289" t="str">
        <f>HYPERLINK("https://developers.google.com/speed/pagespeed/insights/?url=https%3A%2F%2Fwww.examplebusiness.com%2F&amp;tab=desktop","https://developers.google.com/speed/pagespeed/insights/?url=https%3A%2F%2Fwww.examplebusiness.com%2F&amp;tab=desktop")</f>
        <v>https://developers.google.com/speed/pagespeed/insights/?url=https%3A%2F%2Fwww.examplebusiness.com%2F&amp;tab=desktop</v>
      </c>
      <c r="H9" s="260"/>
      <c r="I9" s="260"/>
      <c r="J9" s="214"/>
      <c r="K9" s="20"/>
      <c r="L9" s="220"/>
      <c r="M9" s="189" t="s">
        <v>1692</v>
      </c>
      <c r="N9" s="175"/>
      <c r="O9" s="290" t="str">
        <f>HYPERLINK("https://search.google.com/structured-data/testing-tool/u/0/#url=https%3A%2F%2Fwww.examplebusiness.com%2F","https://search.google.com/structured-data/testing-tool/u/0/#url=https%3A%2F%2Fwww.examplebusiness.com%2F")</f>
        <v>https://search.google.com/structured-data/testing-tool/u/0/#url=https%3A%2F%2Fwww.examplebusiness.com%2F</v>
      </c>
      <c r="P9" s="260"/>
      <c r="Q9" s="260"/>
      <c r="R9" s="214"/>
      <c r="S9" s="20"/>
    </row>
    <row r="10" spans="1:19" ht="16.5" x14ac:dyDescent="0.35">
      <c r="A10" s="168"/>
      <c r="B10" s="168"/>
      <c r="C10" s="20"/>
      <c r="D10" s="213"/>
      <c r="E10" s="20"/>
      <c r="F10" s="20"/>
      <c r="G10" s="20"/>
      <c r="H10" s="20"/>
      <c r="I10" s="20"/>
      <c r="J10" s="214"/>
      <c r="K10" s="20"/>
      <c r="L10" s="213"/>
      <c r="M10" s="20"/>
      <c r="N10" s="20"/>
      <c r="O10" s="20"/>
      <c r="P10" s="20"/>
      <c r="Q10" s="20"/>
      <c r="R10" s="214"/>
      <c r="S10" s="20"/>
    </row>
    <row r="11" spans="1:19" ht="24.75" customHeight="1" x14ac:dyDescent="0.4">
      <c r="A11" s="168"/>
      <c r="B11" s="168"/>
      <c r="C11" s="20"/>
      <c r="D11" s="213"/>
      <c r="E11" s="187" t="s">
        <v>1693</v>
      </c>
      <c r="F11" s="20"/>
      <c r="G11" s="187" t="s">
        <v>1694</v>
      </c>
      <c r="H11" s="20"/>
      <c r="I11" s="20"/>
      <c r="J11" s="214"/>
      <c r="K11" s="20"/>
      <c r="L11" s="213"/>
      <c r="M11" s="20"/>
      <c r="N11" s="20"/>
      <c r="O11" s="186" t="s">
        <v>1695</v>
      </c>
      <c r="P11" s="186" t="s">
        <v>1696</v>
      </c>
      <c r="Q11" s="186" t="s">
        <v>1697</v>
      </c>
      <c r="R11" s="214"/>
      <c r="S11" s="20"/>
    </row>
    <row r="12" spans="1:19" ht="24.75" customHeight="1" x14ac:dyDescent="0.45">
      <c r="A12" s="168"/>
      <c r="B12" s="168"/>
      <c r="C12" s="20"/>
      <c r="D12" s="213"/>
      <c r="E12" s="221">
        <v>47</v>
      </c>
      <c r="F12" s="20"/>
      <c r="G12" s="221">
        <v>96</v>
      </c>
      <c r="H12" s="20"/>
      <c r="I12" s="20"/>
      <c r="J12" s="214"/>
      <c r="K12" s="20"/>
      <c r="L12" s="213"/>
      <c r="M12" s="222" t="s">
        <v>2529</v>
      </c>
      <c r="N12" s="20"/>
      <c r="O12" s="223" t="b">
        <v>1</v>
      </c>
      <c r="P12" s="223" t="b">
        <v>1</v>
      </c>
      <c r="Q12" s="223" t="b">
        <v>0</v>
      </c>
      <c r="R12" s="214"/>
      <c r="S12" s="20"/>
    </row>
    <row r="13" spans="1:19" ht="19.5" x14ac:dyDescent="0.4">
      <c r="A13" s="168"/>
      <c r="B13" s="168"/>
      <c r="C13" s="20"/>
      <c r="D13" s="213"/>
      <c r="E13" s="20"/>
      <c r="F13" s="20"/>
      <c r="G13" s="20"/>
      <c r="H13" s="20"/>
      <c r="I13" s="20"/>
      <c r="J13" s="214"/>
      <c r="K13" s="20"/>
      <c r="L13" s="213"/>
      <c r="M13" s="222" t="s">
        <v>1698</v>
      </c>
      <c r="N13" s="20"/>
      <c r="O13" s="223" t="b">
        <v>0</v>
      </c>
      <c r="P13" s="223" t="b">
        <v>0</v>
      </c>
      <c r="Q13" s="223" t="b">
        <v>0</v>
      </c>
      <c r="R13" s="214"/>
      <c r="S13" s="20"/>
    </row>
    <row r="14" spans="1:19" ht="22.5" x14ac:dyDescent="0.45">
      <c r="A14" s="168"/>
      <c r="B14" s="168"/>
      <c r="C14" s="20"/>
      <c r="D14" s="213"/>
      <c r="E14" s="218" t="s">
        <v>1699</v>
      </c>
      <c r="F14" s="65"/>
      <c r="G14" s="20"/>
      <c r="H14" s="20"/>
      <c r="I14" s="20"/>
      <c r="J14" s="214"/>
      <c r="K14" s="20"/>
      <c r="L14" s="213"/>
      <c r="M14" s="222" t="s">
        <v>1700</v>
      </c>
      <c r="N14" s="20"/>
      <c r="O14" s="223" t="b">
        <v>0</v>
      </c>
      <c r="P14" s="223" t="b">
        <v>0</v>
      </c>
      <c r="Q14" s="223" t="b">
        <v>0</v>
      </c>
      <c r="R14" s="214"/>
      <c r="S14" s="20"/>
    </row>
    <row r="15" spans="1:19" ht="19.5" x14ac:dyDescent="0.4">
      <c r="A15" s="168"/>
      <c r="B15" s="168"/>
      <c r="C15" s="20"/>
      <c r="D15" s="213"/>
      <c r="E15" s="20"/>
      <c r="F15" s="20"/>
      <c r="G15" s="20"/>
      <c r="H15" s="20"/>
      <c r="I15" s="20"/>
      <c r="J15" s="214"/>
      <c r="K15" s="20"/>
      <c r="L15" s="213"/>
      <c r="M15" s="222" t="s">
        <v>1701</v>
      </c>
      <c r="N15" s="20"/>
      <c r="O15" s="223" t="b">
        <v>0</v>
      </c>
      <c r="P15" s="223" t="b">
        <v>0</v>
      </c>
      <c r="Q15" s="223" t="b">
        <v>0</v>
      </c>
      <c r="R15" s="214"/>
      <c r="S15" s="20"/>
    </row>
    <row r="16" spans="1:19" ht="19.5" x14ac:dyDescent="0.4">
      <c r="A16" s="168"/>
      <c r="B16" s="168"/>
      <c r="C16" s="20"/>
      <c r="D16" s="213"/>
      <c r="E16" s="189" t="s">
        <v>1692</v>
      </c>
      <c r="F16" s="175"/>
      <c r="G16" s="289" t="str">
        <f>HYPERLINK("https://gtmetrix.com/reports/www.examplebusiness.com/RL8nnwM4/","https://gtmetrix.com/reports/www.examplebusiness.com/RL8nnwM4/")</f>
        <v>https://gtmetrix.com/reports/www.examplebusiness.com/RL8nnwM4/</v>
      </c>
      <c r="H16" s="260"/>
      <c r="I16" s="260"/>
      <c r="J16" s="214"/>
      <c r="K16" s="20"/>
      <c r="L16" s="213"/>
      <c r="M16" s="222" t="s">
        <v>1702</v>
      </c>
      <c r="N16" s="20"/>
      <c r="O16" s="223" t="b">
        <v>0</v>
      </c>
      <c r="P16" s="223" t="b">
        <v>0</v>
      </c>
      <c r="Q16" s="223" t="b">
        <v>0</v>
      </c>
      <c r="R16" s="214"/>
      <c r="S16" s="20"/>
    </row>
    <row r="17" spans="1:19" ht="19.5" x14ac:dyDescent="0.4">
      <c r="A17" s="168"/>
      <c r="B17" s="168"/>
      <c r="C17" s="20"/>
      <c r="D17" s="213"/>
      <c r="E17" s="20"/>
      <c r="F17" s="20"/>
      <c r="G17" s="20"/>
      <c r="H17" s="20"/>
      <c r="I17" s="20"/>
      <c r="J17" s="214"/>
      <c r="K17" s="20"/>
      <c r="L17" s="213"/>
      <c r="M17" s="222" t="s">
        <v>1703</v>
      </c>
      <c r="N17" s="20"/>
      <c r="O17" s="223" t="b">
        <v>0</v>
      </c>
      <c r="P17" s="223" t="b">
        <v>0</v>
      </c>
      <c r="Q17" s="223" t="b">
        <v>0</v>
      </c>
      <c r="R17" s="214"/>
      <c r="S17" s="20"/>
    </row>
    <row r="18" spans="1:19" ht="24.75" customHeight="1" x14ac:dyDescent="0.4">
      <c r="A18" s="168"/>
      <c r="B18" s="168"/>
      <c r="C18" s="20"/>
      <c r="D18" s="213"/>
      <c r="E18" s="187" t="s">
        <v>1659</v>
      </c>
      <c r="F18" s="34"/>
      <c r="G18" s="187" t="s">
        <v>1660</v>
      </c>
      <c r="H18" s="34"/>
      <c r="I18" s="34"/>
      <c r="J18" s="214"/>
      <c r="K18" s="20"/>
      <c r="L18" s="213"/>
      <c r="M18" s="222" t="s">
        <v>1704</v>
      </c>
      <c r="N18" s="20"/>
      <c r="O18" s="223" t="b">
        <v>0</v>
      </c>
      <c r="P18" s="223" t="b">
        <v>0</v>
      </c>
      <c r="Q18" s="223" t="b">
        <v>0</v>
      </c>
      <c r="R18" s="214"/>
      <c r="S18" s="20"/>
    </row>
    <row r="19" spans="1:19" ht="24.75" customHeight="1" x14ac:dyDescent="0.4">
      <c r="A19" s="168"/>
      <c r="B19" s="168"/>
      <c r="C19" s="20"/>
      <c r="D19" s="213"/>
      <c r="E19" s="224">
        <v>72</v>
      </c>
      <c r="F19" s="34"/>
      <c r="G19" s="225">
        <v>81</v>
      </c>
      <c r="H19" s="34"/>
      <c r="I19" s="34"/>
      <c r="J19" s="214"/>
      <c r="K19" s="20"/>
      <c r="L19" s="213"/>
      <c r="M19" s="222" t="s">
        <v>1705</v>
      </c>
      <c r="N19" s="20"/>
      <c r="O19" s="223" t="b">
        <v>0</v>
      </c>
      <c r="P19" s="223" t="b">
        <v>0</v>
      </c>
      <c r="Q19" s="223" t="b">
        <v>0</v>
      </c>
      <c r="R19" s="214"/>
      <c r="S19" s="20"/>
    </row>
    <row r="20" spans="1:19" ht="19.5" x14ac:dyDescent="0.4">
      <c r="A20" s="168"/>
      <c r="B20" s="168"/>
      <c r="C20" s="20"/>
      <c r="D20" s="213"/>
      <c r="E20" s="34"/>
      <c r="F20" s="34"/>
      <c r="G20" s="34"/>
      <c r="H20" s="34"/>
      <c r="I20" s="34"/>
      <c r="J20" s="214"/>
      <c r="K20" s="20"/>
      <c r="L20" s="213"/>
      <c r="M20" s="222"/>
      <c r="N20" s="20"/>
      <c r="O20" s="20"/>
      <c r="P20" s="20"/>
      <c r="Q20" s="20"/>
      <c r="R20" s="214"/>
      <c r="S20" s="20"/>
    </row>
    <row r="21" spans="1:19" ht="24.75" customHeight="1" x14ac:dyDescent="0.4">
      <c r="A21" s="168"/>
      <c r="B21" s="168"/>
      <c r="C21" s="20"/>
      <c r="D21" s="213"/>
      <c r="E21" s="187" t="s">
        <v>1706</v>
      </c>
      <c r="F21" s="34"/>
      <c r="G21" s="187" t="s">
        <v>1707</v>
      </c>
      <c r="H21" s="34"/>
      <c r="I21" s="187" t="s">
        <v>1708</v>
      </c>
      <c r="J21" s="214"/>
      <c r="K21" s="20"/>
      <c r="L21" s="213"/>
      <c r="M21" s="222"/>
      <c r="N21" s="20"/>
      <c r="O21" s="20"/>
      <c r="P21" s="20"/>
      <c r="Q21" s="20"/>
      <c r="R21" s="214"/>
      <c r="S21" s="20"/>
    </row>
    <row r="22" spans="1:19" ht="24.75" customHeight="1" x14ac:dyDescent="0.4">
      <c r="A22" s="168"/>
      <c r="B22" s="168"/>
      <c r="C22" s="20"/>
      <c r="D22" s="213"/>
      <c r="E22" s="224" t="s">
        <v>1709</v>
      </c>
      <c r="F22" s="34"/>
      <c r="G22" s="226" t="s">
        <v>1710</v>
      </c>
      <c r="H22" s="34"/>
      <c r="I22" s="226">
        <v>0</v>
      </c>
      <c r="J22" s="214"/>
      <c r="K22" s="20"/>
      <c r="L22" s="213"/>
      <c r="M22" s="20"/>
      <c r="N22" s="20"/>
      <c r="O22" s="20"/>
      <c r="P22" s="20"/>
      <c r="Q22" s="20"/>
      <c r="R22" s="214"/>
      <c r="S22" s="20"/>
    </row>
    <row r="23" spans="1:19" ht="16.5" x14ac:dyDescent="0.35">
      <c r="A23" s="168"/>
      <c r="B23" s="168"/>
      <c r="C23" s="20"/>
      <c r="D23" s="227"/>
      <c r="E23" s="228"/>
      <c r="F23" s="228"/>
      <c r="G23" s="228"/>
      <c r="H23" s="228"/>
      <c r="I23" s="228"/>
      <c r="J23" s="229"/>
      <c r="K23" s="20"/>
      <c r="L23" s="227"/>
      <c r="M23" s="228"/>
      <c r="N23" s="228"/>
      <c r="O23" s="228"/>
      <c r="P23" s="228"/>
      <c r="Q23" s="228"/>
      <c r="R23" s="229"/>
      <c r="S23" s="20"/>
    </row>
    <row r="24" spans="1:19" ht="16.5" x14ac:dyDescent="0.35">
      <c r="A24" s="168"/>
      <c r="B24" s="168"/>
      <c r="C24" s="20"/>
      <c r="D24" s="20"/>
      <c r="E24" s="20"/>
      <c r="F24" s="20"/>
      <c r="G24" s="20"/>
      <c r="H24" s="20"/>
      <c r="I24" s="20"/>
      <c r="J24" s="20"/>
      <c r="K24" s="20"/>
      <c r="L24" s="20"/>
      <c r="M24" s="20"/>
      <c r="N24" s="20"/>
      <c r="O24" s="20"/>
      <c r="P24" s="20"/>
      <c r="Q24" s="20"/>
      <c r="R24" s="20"/>
      <c r="S24" s="20"/>
    </row>
  </sheetData>
  <mergeCells count="3">
    <mergeCell ref="G9:I9"/>
    <mergeCell ref="O9:Q9"/>
    <mergeCell ref="G16:I16"/>
  </mergeCells>
  <conditionalFormatting sqref="E12 G12">
    <cfRule type="cellIs" dxfId="24" priority="1" operator="between">
      <formula>0</formula>
      <formula>49</formula>
    </cfRule>
    <cfRule type="cellIs" dxfId="23" priority="2" operator="between">
      <formula>50</formula>
      <formula>89</formula>
    </cfRule>
    <cfRule type="cellIs" dxfId="22" priority="3" operator="between">
      <formula>90</formula>
      <formula>100</formula>
    </cfRule>
  </conditionalFormatting>
  <conditionalFormatting sqref="E19 G19">
    <cfRule type="containsText" dxfId="21" priority="4" operator="containsText" text="a">
      <formula>NOT(ISERROR(SEARCH(("a"),(E19))))</formula>
    </cfRule>
    <cfRule type="containsText" dxfId="20" priority="5" operator="containsText" text="b">
      <formula>NOT(ISERROR(SEARCH(("b"),(E19))))</formula>
    </cfRule>
    <cfRule type="containsText" dxfId="19" priority="6" operator="containsText" text="c">
      <formula>NOT(ISERROR(SEARCH(("c"),(E19))))</formula>
    </cfRule>
    <cfRule type="containsText" dxfId="18" priority="7" operator="containsText" text="d">
      <formula>NOT(ISERROR(SEARCH(("d"),(E19))))</formula>
    </cfRule>
    <cfRule type="containsText" dxfId="17" priority="8" operator="containsText" text="e">
      <formula>NOT(ISERROR(SEARCH(("e"),(E19))))</formula>
    </cfRule>
    <cfRule type="containsText" dxfId="16" priority="9" operator="containsText" text="f">
      <formula>NOT(ISERROR(SEARCH(("f"),(E19))))</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W60"/>
  <sheetViews>
    <sheetView showGridLines="0" workbookViewId="0">
      <pane xSplit="4" ySplit="3" topLeftCell="E48" activePane="bottomRight" state="frozen"/>
      <selection pane="topRight" activeCell="E1" sqref="E1"/>
      <selection pane="bottomLeft" activeCell="A4" sqref="A4"/>
      <selection pane="bottomRight" activeCell="E4" sqref="E4"/>
    </sheetView>
  </sheetViews>
  <sheetFormatPr defaultColWidth="12.5703125" defaultRowHeight="15.75" customHeight="1" x14ac:dyDescent="0.2"/>
  <cols>
    <col min="1" max="1" width="42.42578125" customWidth="1"/>
    <col min="2" max="2" width="10" customWidth="1"/>
    <col min="3" max="4" width="9.28515625" customWidth="1"/>
    <col min="5" max="5" width="2" customWidth="1"/>
    <col min="6" max="6" width="12.7109375" customWidth="1"/>
    <col min="7" max="7" width="14.140625" customWidth="1"/>
    <col min="8" max="8" width="2" customWidth="1"/>
    <col min="9" max="9" width="12.7109375" customWidth="1"/>
    <col min="10" max="10" width="14.140625" customWidth="1"/>
    <col min="11" max="11" width="2" customWidth="1"/>
    <col min="12" max="12" width="12.7109375" customWidth="1"/>
    <col min="13" max="13" width="14.140625" customWidth="1"/>
    <col min="14" max="14" width="2" customWidth="1"/>
    <col min="15" max="15" width="12.7109375" customWidth="1"/>
    <col min="16" max="16" width="14.140625" customWidth="1"/>
    <col min="17" max="17" width="2" customWidth="1"/>
    <col min="18" max="18" width="12.7109375" customWidth="1"/>
    <col min="19" max="19" width="14.140625" customWidth="1"/>
    <col min="20" max="20" width="2" customWidth="1"/>
    <col min="21" max="21" width="12.7109375" customWidth="1"/>
    <col min="22" max="22" width="14.140625" customWidth="1"/>
    <col min="23" max="23" width="2" customWidth="1"/>
  </cols>
  <sheetData>
    <row r="1" spans="1:23" ht="15" customHeight="1" x14ac:dyDescent="0.3">
      <c r="A1" s="230"/>
      <c r="B1" s="231"/>
      <c r="C1" s="231"/>
      <c r="D1" s="231"/>
      <c r="E1" s="232"/>
      <c r="F1" s="232"/>
      <c r="G1" s="233"/>
      <c r="H1" s="232"/>
      <c r="I1" s="232"/>
      <c r="J1" s="233"/>
      <c r="K1" s="232"/>
      <c r="L1" s="232"/>
      <c r="M1" s="233"/>
      <c r="N1" s="232"/>
      <c r="O1" s="232"/>
      <c r="P1" s="233"/>
      <c r="Q1" s="232"/>
      <c r="R1" s="232"/>
      <c r="S1" s="233"/>
      <c r="T1" s="232"/>
      <c r="U1" s="232"/>
      <c r="V1" s="233"/>
      <c r="W1" s="232"/>
    </row>
    <row r="2" spans="1:23" ht="34.5" customHeight="1" x14ac:dyDescent="0.3">
      <c r="A2" s="230" t="s">
        <v>1711</v>
      </c>
      <c r="B2" s="231" t="s">
        <v>1712</v>
      </c>
      <c r="C2" s="231" t="s">
        <v>1713</v>
      </c>
      <c r="D2" s="231" t="s">
        <v>1714</v>
      </c>
      <c r="E2" s="232"/>
      <c r="F2" s="291" t="s">
        <v>2569</v>
      </c>
      <c r="G2" s="292"/>
      <c r="H2" s="232"/>
      <c r="I2" s="293" t="s">
        <v>1715</v>
      </c>
      <c r="J2" s="292"/>
      <c r="K2" s="232"/>
      <c r="L2" s="293" t="s">
        <v>1716</v>
      </c>
      <c r="M2" s="292"/>
      <c r="N2" s="232"/>
      <c r="O2" s="293" t="s">
        <v>1717</v>
      </c>
      <c r="P2" s="292"/>
      <c r="Q2" s="232"/>
      <c r="R2" s="293" t="s">
        <v>1718</v>
      </c>
      <c r="S2" s="292"/>
      <c r="T2" s="232"/>
      <c r="U2" s="293" t="s">
        <v>1624</v>
      </c>
      <c r="V2" s="292"/>
      <c r="W2" s="232"/>
    </row>
    <row r="3" spans="1:23" ht="14.25" x14ac:dyDescent="0.3">
      <c r="A3" s="234"/>
      <c r="B3" s="235"/>
      <c r="C3" s="235"/>
      <c r="D3" s="235"/>
      <c r="E3" s="236"/>
      <c r="F3" s="237" t="s">
        <v>557</v>
      </c>
      <c r="G3" s="238" t="s">
        <v>1719</v>
      </c>
      <c r="H3" s="236"/>
      <c r="I3" s="237" t="s">
        <v>557</v>
      </c>
      <c r="J3" s="238" t="s">
        <v>1719</v>
      </c>
      <c r="K3" s="236"/>
      <c r="L3" s="237" t="s">
        <v>557</v>
      </c>
      <c r="M3" s="238" t="s">
        <v>1719</v>
      </c>
      <c r="N3" s="236"/>
      <c r="O3" s="237" t="s">
        <v>557</v>
      </c>
      <c r="P3" s="238" t="s">
        <v>1719</v>
      </c>
      <c r="Q3" s="236"/>
      <c r="R3" s="237" t="s">
        <v>557</v>
      </c>
      <c r="S3" s="238" t="s">
        <v>1719</v>
      </c>
      <c r="T3" s="236"/>
      <c r="U3" s="237" t="s">
        <v>557</v>
      </c>
      <c r="V3" s="238" t="s">
        <v>1719</v>
      </c>
      <c r="W3" s="236"/>
    </row>
    <row r="4" spans="1:23" ht="14.25" x14ac:dyDescent="0.3">
      <c r="A4" s="239" t="s">
        <v>1720</v>
      </c>
      <c r="B4" s="240">
        <v>2</v>
      </c>
      <c r="C4" s="240">
        <v>4700</v>
      </c>
      <c r="D4" s="240">
        <v>7</v>
      </c>
      <c r="E4" s="240"/>
      <c r="F4" s="241" t="s">
        <v>1721</v>
      </c>
      <c r="G4" s="242" t="s">
        <v>1722</v>
      </c>
      <c r="H4" s="240"/>
      <c r="I4" s="241">
        <v>4</v>
      </c>
      <c r="J4" s="243" t="str">
        <f t="shared" ref="J4:J7" si="0">HYPERLINK("https://www.wealthenhancement.com/blog/what-is-a-grat","https://www.wealthenhancement.com/blog/what-is-a-grat")</f>
        <v>https://www.wealthenhancement.com/blog/what-is-a-grat</v>
      </c>
      <c r="K4" s="240"/>
      <c r="L4" s="241" t="s">
        <v>1721</v>
      </c>
      <c r="M4" s="242" t="s">
        <v>1722</v>
      </c>
      <c r="N4" s="240"/>
      <c r="O4" s="241" t="s">
        <v>1721</v>
      </c>
      <c r="P4" s="242" t="s">
        <v>1722</v>
      </c>
      <c r="Q4" s="240"/>
      <c r="R4" s="241">
        <v>8</v>
      </c>
      <c r="S4" s="243" t="str">
        <f t="shared" ref="S4:S7" si="1">HYPERLINK("https://creativeplanning.com/education/article/grantor-retained-annuity-trusts-a-useful-estate-planning-tool-that-may-have-an-expiring-shelf-life/","https://creativeplanning.com/education/article/grantor-retained-annuity-trusts-a-useful-estate-planning-tool-that-may-have-an-expiring-shelf-life/")</f>
        <v>https://creativeplanning.com/education/article/grantor-retained-annuity-trusts-a-useful-estate-planning-tool-that-may-have-an-expiring-shelf-life/</v>
      </c>
      <c r="T4" s="240"/>
      <c r="U4" s="241" t="s">
        <v>1721</v>
      </c>
      <c r="V4" s="242" t="s">
        <v>1722</v>
      </c>
      <c r="W4" s="240"/>
    </row>
    <row r="5" spans="1:23" ht="14.25" x14ac:dyDescent="0.3">
      <c r="A5" s="239" t="s">
        <v>1723</v>
      </c>
      <c r="B5" s="240">
        <v>2</v>
      </c>
      <c r="C5" s="240">
        <v>1100</v>
      </c>
      <c r="D5" s="240">
        <v>5</v>
      </c>
      <c r="E5" s="240"/>
      <c r="F5" s="241" t="s">
        <v>1721</v>
      </c>
      <c r="G5" s="242" t="s">
        <v>1722</v>
      </c>
      <c r="H5" s="240"/>
      <c r="I5" s="241">
        <v>5</v>
      </c>
      <c r="J5" s="244" t="str">
        <f t="shared" si="0"/>
        <v>https://www.wealthenhancement.com/blog/what-is-a-grat</v>
      </c>
      <c r="K5" s="240"/>
      <c r="L5" s="241" t="s">
        <v>1721</v>
      </c>
      <c r="M5" s="242" t="s">
        <v>1722</v>
      </c>
      <c r="N5" s="240"/>
      <c r="O5" s="241" t="s">
        <v>1721</v>
      </c>
      <c r="P5" s="242" t="s">
        <v>1722</v>
      </c>
      <c r="Q5" s="240"/>
      <c r="R5" s="241">
        <v>17</v>
      </c>
      <c r="S5" s="244" t="str">
        <f t="shared" si="1"/>
        <v>https://creativeplanning.com/education/article/grantor-retained-annuity-trusts-a-useful-estate-planning-tool-that-may-have-an-expiring-shelf-life/</v>
      </c>
      <c r="T5" s="240"/>
      <c r="U5" s="241" t="s">
        <v>1721</v>
      </c>
      <c r="V5" s="242" t="s">
        <v>1722</v>
      </c>
      <c r="W5" s="240"/>
    </row>
    <row r="6" spans="1:23" ht="14.25" x14ac:dyDescent="0.3">
      <c r="A6" s="239" t="s">
        <v>1724</v>
      </c>
      <c r="B6" s="240">
        <v>2</v>
      </c>
      <c r="C6" s="240">
        <v>900</v>
      </c>
      <c r="D6" s="240">
        <v>6</v>
      </c>
      <c r="E6" s="240"/>
      <c r="F6" s="241" t="s">
        <v>1721</v>
      </c>
      <c r="G6" s="242" t="s">
        <v>1722</v>
      </c>
      <c r="H6" s="240"/>
      <c r="I6" s="241">
        <v>6</v>
      </c>
      <c r="J6" s="244" t="str">
        <f t="shared" si="0"/>
        <v>https://www.wealthenhancement.com/blog/what-is-a-grat</v>
      </c>
      <c r="K6" s="240"/>
      <c r="L6" s="241" t="s">
        <v>1721</v>
      </c>
      <c r="M6" s="242" t="s">
        <v>1722</v>
      </c>
      <c r="N6" s="240"/>
      <c r="O6" s="241" t="s">
        <v>1721</v>
      </c>
      <c r="P6" s="242" t="s">
        <v>1722</v>
      </c>
      <c r="Q6" s="240"/>
      <c r="R6" s="241">
        <v>9</v>
      </c>
      <c r="S6" s="244" t="str">
        <f t="shared" si="1"/>
        <v>https://creativeplanning.com/education/article/grantor-retained-annuity-trusts-a-useful-estate-planning-tool-that-may-have-an-expiring-shelf-life/</v>
      </c>
      <c r="T6" s="240"/>
      <c r="U6" s="241" t="s">
        <v>1721</v>
      </c>
      <c r="V6" s="242" t="s">
        <v>1722</v>
      </c>
      <c r="W6" s="240"/>
    </row>
    <row r="7" spans="1:23" ht="14.25" x14ac:dyDescent="0.3">
      <c r="A7" s="239" t="s">
        <v>1725</v>
      </c>
      <c r="B7" s="240">
        <v>2</v>
      </c>
      <c r="C7" s="240">
        <v>500</v>
      </c>
      <c r="D7" s="240">
        <v>12</v>
      </c>
      <c r="E7" s="240"/>
      <c r="F7" s="241" t="s">
        <v>1721</v>
      </c>
      <c r="G7" s="242" t="s">
        <v>1722</v>
      </c>
      <c r="H7" s="240"/>
      <c r="I7" s="241">
        <v>5</v>
      </c>
      <c r="J7" s="244" t="str">
        <f t="shared" si="0"/>
        <v>https://www.wealthenhancement.com/blog/what-is-a-grat</v>
      </c>
      <c r="K7" s="240"/>
      <c r="L7" s="241" t="s">
        <v>1721</v>
      </c>
      <c r="M7" s="242" t="s">
        <v>1722</v>
      </c>
      <c r="N7" s="240"/>
      <c r="O7" s="241" t="s">
        <v>1721</v>
      </c>
      <c r="P7" s="242" t="s">
        <v>1722</v>
      </c>
      <c r="Q7" s="240"/>
      <c r="R7" s="241">
        <v>12</v>
      </c>
      <c r="S7" s="244" t="str">
        <f t="shared" si="1"/>
        <v>https://creativeplanning.com/education/article/grantor-retained-annuity-trusts-a-useful-estate-planning-tool-that-may-have-an-expiring-shelf-life/</v>
      </c>
      <c r="T7" s="240"/>
      <c r="U7" s="241" t="s">
        <v>1721</v>
      </c>
      <c r="V7" s="242" t="s">
        <v>1722</v>
      </c>
      <c r="W7" s="240"/>
    </row>
    <row r="8" spans="1:23" ht="14.25" x14ac:dyDescent="0.3">
      <c r="A8" s="239" t="s">
        <v>2530</v>
      </c>
      <c r="B8" s="240">
        <v>2</v>
      </c>
      <c r="C8" s="240">
        <v>150</v>
      </c>
      <c r="D8" s="240">
        <v>7</v>
      </c>
      <c r="E8" s="240"/>
      <c r="F8" s="241" t="s">
        <v>1721</v>
      </c>
      <c r="G8" s="242" t="s">
        <v>1722</v>
      </c>
      <c r="H8" s="240"/>
      <c r="I8" s="241" t="s">
        <v>1721</v>
      </c>
      <c r="J8" s="242" t="s">
        <v>1722</v>
      </c>
      <c r="K8" s="240"/>
      <c r="L8" s="241" t="s">
        <v>1721</v>
      </c>
      <c r="M8" s="242" t="s">
        <v>1722</v>
      </c>
      <c r="N8" s="240"/>
      <c r="O8" s="241">
        <v>68</v>
      </c>
      <c r="P8" s="244" t="str">
        <f>HYPERLINK("https://marksgroup.com/","https://marksgroup.com/")</f>
        <v>https://marksgroup.com/</v>
      </c>
      <c r="Q8" s="240"/>
      <c r="R8" s="241" t="s">
        <v>1721</v>
      </c>
      <c r="S8" s="242" t="s">
        <v>1722</v>
      </c>
      <c r="T8" s="240"/>
      <c r="U8" s="241">
        <v>12</v>
      </c>
      <c r="V8" s="244" t="str">
        <f>HYPERLINK("https://www.silveroakwealth.com/","https://www.silveroakwealth.com/")</f>
        <v>https://www.silveroakwealth.com/</v>
      </c>
      <c r="W8" s="240"/>
    </row>
    <row r="9" spans="1:23" ht="14.25" x14ac:dyDescent="0.3">
      <c r="A9" s="239" t="s">
        <v>1726</v>
      </c>
      <c r="B9" s="240">
        <v>2</v>
      </c>
      <c r="C9" s="240">
        <v>150</v>
      </c>
      <c r="D9" s="240">
        <v>12</v>
      </c>
      <c r="E9" s="240"/>
      <c r="F9" s="241" t="s">
        <v>1721</v>
      </c>
      <c r="G9" s="242" t="s">
        <v>1722</v>
      </c>
      <c r="H9" s="240"/>
      <c r="I9" s="241">
        <v>4</v>
      </c>
      <c r="J9" s="243" t="str">
        <f>HYPERLINK("https://www.wealthenhancement.com/blog/what-is-a-grat","https://www.wealthenhancement.com/blog/what-is-a-grat")</f>
        <v>https://www.wealthenhancement.com/blog/what-is-a-grat</v>
      </c>
      <c r="K9" s="240"/>
      <c r="L9" s="241" t="s">
        <v>1721</v>
      </c>
      <c r="M9" s="242" t="s">
        <v>1722</v>
      </c>
      <c r="N9" s="240"/>
      <c r="O9" s="241" t="s">
        <v>1721</v>
      </c>
      <c r="P9" s="242" t="s">
        <v>1722</v>
      </c>
      <c r="Q9" s="240"/>
      <c r="R9" s="241">
        <v>21</v>
      </c>
      <c r="S9" s="243" t="str">
        <f>HYPERLINK("https://creativeplanning.com/education/article/grantor-retained-annuity-trusts-a-useful-estate-planning-tool-that-may-have-an-expiring-shelf-life/","https://creativeplanning.com/education/article/grantor-retained-annuity-trusts-a-useful-estate-planning-tool-that-may-have-an-expiring-shelf-life/")</f>
        <v>https://creativeplanning.com/education/article/grantor-retained-annuity-trusts-a-useful-estate-planning-tool-that-may-have-an-expiring-shelf-life/</v>
      </c>
      <c r="T9" s="240"/>
      <c r="U9" s="241" t="s">
        <v>1721</v>
      </c>
      <c r="V9" s="242" t="s">
        <v>1722</v>
      </c>
      <c r="W9" s="240"/>
    </row>
    <row r="10" spans="1:23" ht="14.25" x14ac:dyDescent="0.3">
      <c r="A10" s="239" t="s">
        <v>1727</v>
      </c>
      <c r="B10" s="240">
        <v>2</v>
      </c>
      <c r="C10" s="240">
        <v>100</v>
      </c>
      <c r="D10" s="240">
        <v>8</v>
      </c>
      <c r="E10" s="240"/>
      <c r="F10" s="241" t="s">
        <v>1721</v>
      </c>
      <c r="G10" s="242" t="s">
        <v>1722</v>
      </c>
      <c r="H10" s="240"/>
      <c r="I10" s="241">
        <v>8</v>
      </c>
      <c r="J10" s="243" t="str">
        <f>HYPERLINK("https://www.wealthenhancement.com/blog/83b-election-might-be-right-for-you","https://www.wealthenhancement.com/blog/83b-election-might-be-right-for-you")</f>
        <v>https://www.wealthenhancement.com/blog/83b-election-might-be-right-for-you</v>
      </c>
      <c r="K10" s="240"/>
      <c r="L10" s="241" t="s">
        <v>1721</v>
      </c>
      <c r="M10" s="242" t="s">
        <v>1722</v>
      </c>
      <c r="N10" s="240"/>
      <c r="O10" s="241" t="s">
        <v>1721</v>
      </c>
      <c r="P10" s="242" t="s">
        <v>1722</v>
      </c>
      <c r="Q10" s="240"/>
      <c r="R10" s="241">
        <v>33</v>
      </c>
      <c r="S10" s="243" t="str">
        <f>HYPERLINK("https://creativeplanning.com/education/article/to-83b-or-not-to-83b-that-is-the-election/","https://creativeplanning.com/education/article/to-83b-or-not-to-83b-that-is-the-election/")</f>
        <v>https://creativeplanning.com/education/article/to-83b-or-not-to-83b-that-is-the-election/</v>
      </c>
      <c r="T10" s="240"/>
      <c r="U10" s="241" t="s">
        <v>1721</v>
      </c>
      <c r="V10" s="242" t="s">
        <v>1722</v>
      </c>
      <c r="W10" s="240"/>
    </row>
    <row r="11" spans="1:23" ht="14.25" x14ac:dyDescent="0.3">
      <c r="A11" s="239" t="s">
        <v>1728</v>
      </c>
      <c r="B11" s="240">
        <v>2</v>
      </c>
      <c r="C11" s="240">
        <v>100</v>
      </c>
      <c r="D11" s="240">
        <v>10</v>
      </c>
      <c r="E11" s="240"/>
      <c r="F11" s="241" t="s">
        <v>1721</v>
      </c>
      <c r="G11" s="242" t="s">
        <v>1722</v>
      </c>
      <c r="H11" s="240"/>
      <c r="I11" s="241">
        <v>7</v>
      </c>
      <c r="J11" s="244" t="str">
        <f>HYPERLINK("https://www.wealthenhancement.com/blog/what-is-a-grat","https://www.wealthenhancement.com/blog/what-is-a-grat")</f>
        <v>https://www.wealthenhancement.com/blog/what-is-a-grat</v>
      </c>
      <c r="K11" s="240"/>
      <c r="L11" s="241" t="s">
        <v>1721</v>
      </c>
      <c r="M11" s="242" t="s">
        <v>1722</v>
      </c>
      <c r="N11" s="240"/>
      <c r="O11" s="241" t="s">
        <v>1721</v>
      </c>
      <c r="P11" s="242" t="s">
        <v>1722</v>
      </c>
      <c r="Q11" s="240"/>
      <c r="R11" s="241">
        <v>27</v>
      </c>
      <c r="S11" s="244" t="str">
        <f>HYPERLINK("https://creativeplanning.com/education/article/grantor-retained-annuity-trusts-a-useful-estate-planning-tool-that-may-have-an-expiring-shelf-life/","https://creativeplanning.com/education/article/grantor-retained-annuity-trusts-a-useful-estate-planning-tool-that-may-have-an-expiring-shelf-life/")</f>
        <v>https://creativeplanning.com/education/article/grantor-retained-annuity-trusts-a-useful-estate-planning-tool-that-may-have-an-expiring-shelf-life/</v>
      </c>
      <c r="T11" s="240"/>
      <c r="U11" s="241" t="s">
        <v>1721</v>
      </c>
      <c r="V11" s="242" t="s">
        <v>1722</v>
      </c>
      <c r="W11" s="240"/>
    </row>
    <row r="12" spans="1:23" ht="14.25" x14ac:dyDescent="0.3">
      <c r="A12" s="239" t="s">
        <v>2531</v>
      </c>
      <c r="B12" s="240">
        <v>2</v>
      </c>
      <c r="C12" s="240">
        <v>100</v>
      </c>
      <c r="D12" s="240">
        <v>48</v>
      </c>
      <c r="E12" s="240"/>
      <c r="F12" s="241" t="s">
        <v>1721</v>
      </c>
      <c r="G12" s="242" t="s">
        <v>1722</v>
      </c>
      <c r="H12" s="240"/>
      <c r="I12" s="241" t="s">
        <v>1721</v>
      </c>
      <c r="J12" s="242" t="s">
        <v>1722</v>
      </c>
      <c r="K12" s="240"/>
      <c r="L12" s="241" t="s">
        <v>1721</v>
      </c>
      <c r="M12" s="242" t="s">
        <v>1722</v>
      </c>
      <c r="N12" s="240"/>
      <c r="O12" s="241" t="s">
        <v>1721</v>
      </c>
      <c r="P12" s="242" t="s">
        <v>1722</v>
      </c>
      <c r="Q12" s="240"/>
      <c r="R12" s="241">
        <v>46</v>
      </c>
      <c r="S12" s="244" t="str">
        <f>HYPERLINK("https://creativeplanning.com/","https://creativeplanning.com/")</f>
        <v>https://creativeplanning.com/</v>
      </c>
      <c r="T12" s="240"/>
      <c r="U12" s="241">
        <v>90</v>
      </c>
      <c r="V12" s="244" t="str">
        <f t="shared" ref="V12:V16" si="2">HYPERLINK("https://www.silveroakwealth.com/","https://www.silveroakwealth.com/")</f>
        <v>https://www.silveroakwealth.com/</v>
      </c>
      <c r="W12" s="240"/>
    </row>
    <row r="13" spans="1:23" ht="14.25" x14ac:dyDescent="0.3">
      <c r="A13" s="239" t="s">
        <v>2532</v>
      </c>
      <c r="B13" s="240">
        <v>2</v>
      </c>
      <c r="C13" s="240">
        <v>100</v>
      </c>
      <c r="D13" s="240">
        <v>13</v>
      </c>
      <c r="E13" s="240"/>
      <c r="F13" s="241" t="s">
        <v>1721</v>
      </c>
      <c r="G13" s="242" t="s">
        <v>1722</v>
      </c>
      <c r="H13" s="240"/>
      <c r="I13" s="241" t="s">
        <v>1721</v>
      </c>
      <c r="J13" s="242" t="s">
        <v>1722</v>
      </c>
      <c r="K13" s="240"/>
      <c r="L13" s="241" t="s">
        <v>1721</v>
      </c>
      <c r="M13" s="242" t="s">
        <v>1722</v>
      </c>
      <c r="N13" s="240"/>
      <c r="O13" s="241">
        <v>38</v>
      </c>
      <c r="P13" s="244" t="str">
        <f>HYPERLINK("https://marksgroup.com/","https://marksgroup.com/")</f>
        <v>https://marksgroup.com/</v>
      </c>
      <c r="Q13" s="240"/>
      <c r="R13" s="241" t="s">
        <v>1721</v>
      </c>
      <c r="S13" s="242" t="s">
        <v>1722</v>
      </c>
      <c r="T13" s="240"/>
      <c r="U13" s="241">
        <v>9</v>
      </c>
      <c r="V13" s="244" t="str">
        <f t="shared" si="2"/>
        <v>https://www.silveroakwealth.com/</v>
      </c>
      <c r="W13" s="240"/>
    </row>
    <row r="14" spans="1:23" ht="14.25" x14ac:dyDescent="0.3">
      <c r="A14" s="239" t="s">
        <v>219</v>
      </c>
      <c r="B14" s="240">
        <v>2</v>
      </c>
      <c r="C14" s="240">
        <v>100</v>
      </c>
      <c r="D14" s="240">
        <v>55</v>
      </c>
      <c r="E14" s="240"/>
      <c r="F14" s="241" t="s">
        <v>1721</v>
      </c>
      <c r="G14" s="242" t="s">
        <v>1722</v>
      </c>
      <c r="H14" s="240"/>
      <c r="I14" s="241" t="s">
        <v>1721</v>
      </c>
      <c r="J14" s="242" t="s">
        <v>1722</v>
      </c>
      <c r="K14" s="240"/>
      <c r="L14" s="241" t="s">
        <v>1721</v>
      </c>
      <c r="M14" s="242" t="s">
        <v>1722</v>
      </c>
      <c r="N14" s="240"/>
      <c r="O14" s="241" t="s">
        <v>1721</v>
      </c>
      <c r="P14" s="242" t="s">
        <v>1722</v>
      </c>
      <c r="Q14" s="240"/>
      <c r="R14" s="241">
        <v>16</v>
      </c>
      <c r="S14" s="244" t="str">
        <f>HYPERLINK("https://creativeplanning.com/","https://creativeplanning.com/")</f>
        <v>https://creativeplanning.com/</v>
      </c>
      <c r="T14" s="240"/>
      <c r="U14" s="241">
        <v>86</v>
      </c>
      <c r="V14" s="244" t="str">
        <f t="shared" si="2"/>
        <v>https://www.silveroakwealth.com/</v>
      </c>
      <c r="W14" s="240"/>
    </row>
    <row r="15" spans="1:23" ht="14.25" x14ac:dyDescent="0.3">
      <c r="A15" s="239" t="s">
        <v>182</v>
      </c>
      <c r="B15" s="240">
        <v>3</v>
      </c>
      <c r="C15" s="240">
        <v>100</v>
      </c>
      <c r="D15" s="240">
        <v>26</v>
      </c>
      <c r="E15" s="240"/>
      <c r="F15" s="241" t="s">
        <v>1721</v>
      </c>
      <c r="G15" s="242" t="s">
        <v>1722</v>
      </c>
      <c r="H15" s="240"/>
      <c r="I15" s="241" t="s">
        <v>1721</v>
      </c>
      <c r="J15" s="242" t="s">
        <v>1722</v>
      </c>
      <c r="K15" s="240"/>
      <c r="L15" s="241">
        <v>15</v>
      </c>
      <c r="M15" s="244" t="str">
        <f t="shared" ref="M15:M16" si="3">HYPERLINK("https://www.accredited.com/","https://www.accredited.com/")</f>
        <v>https://www.accredited.com/</v>
      </c>
      <c r="N15" s="240"/>
      <c r="O15" s="241">
        <v>13</v>
      </c>
      <c r="P15" s="244" t="str">
        <f t="shared" ref="P15:P16" si="4">HYPERLINK("https://marksgroup.com/","https://marksgroup.com/")</f>
        <v>https://marksgroup.com/</v>
      </c>
      <c r="Q15" s="240"/>
      <c r="R15" s="241" t="s">
        <v>1721</v>
      </c>
      <c r="S15" s="242" t="s">
        <v>1722</v>
      </c>
      <c r="T15" s="240"/>
      <c r="U15" s="241">
        <v>2</v>
      </c>
      <c r="V15" s="244" t="str">
        <f t="shared" si="2"/>
        <v>https://www.silveroakwealth.com/</v>
      </c>
      <c r="W15" s="240"/>
    </row>
    <row r="16" spans="1:23" ht="14.25" x14ac:dyDescent="0.3">
      <c r="A16" s="239" t="s">
        <v>225</v>
      </c>
      <c r="B16" s="240">
        <v>3</v>
      </c>
      <c r="C16" s="240">
        <v>90</v>
      </c>
      <c r="D16" s="240">
        <v>6</v>
      </c>
      <c r="E16" s="240"/>
      <c r="F16" s="241" t="s">
        <v>1721</v>
      </c>
      <c r="G16" s="242" t="s">
        <v>1722</v>
      </c>
      <c r="H16" s="240"/>
      <c r="I16" s="241" t="s">
        <v>1721</v>
      </c>
      <c r="J16" s="242" t="s">
        <v>1722</v>
      </c>
      <c r="K16" s="240"/>
      <c r="L16" s="241">
        <v>44</v>
      </c>
      <c r="M16" s="244" t="str">
        <f t="shared" si="3"/>
        <v>https://www.accredited.com/</v>
      </c>
      <c r="N16" s="240"/>
      <c r="O16" s="241">
        <v>26</v>
      </c>
      <c r="P16" s="244" t="str">
        <f t="shared" si="4"/>
        <v>https://marksgroup.com/</v>
      </c>
      <c r="Q16" s="240"/>
      <c r="R16" s="241" t="s">
        <v>1721</v>
      </c>
      <c r="S16" s="242" t="s">
        <v>1722</v>
      </c>
      <c r="T16" s="240"/>
      <c r="U16" s="241">
        <v>5</v>
      </c>
      <c r="V16" s="244" t="str">
        <f t="shared" si="2"/>
        <v>https://www.silveroakwealth.com/</v>
      </c>
      <c r="W16" s="240"/>
    </row>
    <row r="17" spans="1:23" ht="14.25" x14ac:dyDescent="0.3">
      <c r="A17" s="239" t="s">
        <v>2533</v>
      </c>
      <c r="B17" s="240">
        <v>2</v>
      </c>
      <c r="C17" s="240">
        <v>90</v>
      </c>
      <c r="D17" s="240">
        <v>2</v>
      </c>
      <c r="E17" s="240"/>
      <c r="F17" s="241">
        <v>81</v>
      </c>
      <c r="G17" s="244" t="str">
        <f>HYPERLINK("https://www.examplebusiness.com/","https://www.examplebusiness.com/")</f>
        <v>https://www.examplebusiness.com/</v>
      </c>
      <c r="H17" s="240"/>
      <c r="I17" s="241" t="s">
        <v>1721</v>
      </c>
      <c r="J17" s="242" t="s">
        <v>1722</v>
      </c>
      <c r="K17" s="240"/>
      <c r="L17" s="241" t="s">
        <v>1721</v>
      </c>
      <c r="M17" s="242" t="s">
        <v>1722</v>
      </c>
      <c r="N17" s="240"/>
      <c r="O17" s="241" t="s">
        <v>1721</v>
      </c>
      <c r="P17" s="242" t="s">
        <v>1722</v>
      </c>
      <c r="Q17" s="240"/>
      <c r="R17" s="241">
        <v>28</v>
      </c>
      <c r="S17" s="244" t="str">
        <f>HYPERLINK("https://creativeplanning.com/","https://creativeplanning.com/")</f>
        <v>https://creativeplanning.com/</v>
      </c>
      <c r="T17" s="240"/>
      <c r="U17" s="241" t="s">
        <v>1721</v>
      </c>
      <c r="V17" s="242" t="s">
        <v>1722</v>
      </c>
      <c r="W17" s="240"/>
    </row>
    <row r="18" spans="1:23" ht="14.25" x14ac:dyDescent="0.3">
      <c r="A18" s="239" t="s">
        <v>1729</v>
      </c>
      <c r="B18" s="240">
        <v>2</v>
      </c>
      <c r="C18" s="240">
        <v>80</v>
      </c>
      <c r="D18" s="240">
        <v>5</v>
      </c>
      <c r="E18" s="240"/>
      <c r="F18" s="241" t="s">
        <v>1721</v>
      </c>
      <c r="G18" s="242" t="s">
        <v>1722</v>
      </c>
      <c r="H18" s="240"/>
      <c r="I18" s="241">
        <v>8</v>
      </c>
      <c r="J18" s="244" t="str">
        <f t="shared" ref="J18:J19" si="5">HYPERLINK("https://www.wealthenhancement.com/blog/what-is-a-grat","https://www.wealthenhancement.com/blog/what-is-a-grat")</f>
        <v>https://www.wealthenhancement.com/blog/what-is-a-grat</v>
      </c>
      <c r="K18" s="240"/>
      <c r="L18" s="241" t="s">
        <v>1721</v>
      </c>
      <c r="M18" s="242" t="s">
        <v>1722</v>
      </c>
      <c r="N18" s="240"/>
      <c r="O18" s="241" t="s">
        <v>1721</v>
      </c>
      <c r="P18" s="242" t="s">
        <v>1722</v>
      </c>
      <c r="Q18" s="240"/>
      <c r="R18" s="241">
        <v>7</v>
      </c>
      <c r="S18" s="244" t="str">
        <f t="shared" ref="S18:S19" si="6">HYPERLINK("https://creativeplanning.com/education/article/grantor-retained-annuity-trusts-a-useful-estate-planning-tool-that-may-have-an-expiring-shelf-life/","https://creativeplanning.com/education/article/grantor-retained-annuity-trusts-a-useful-estate-planning-tool-that-may-have-an-expiring-shelf-life/")</f>
        <v>https://creativeplanning.com/education/article/grantor-retained-annuity-trusts-a-useful-estate-planning-tool-that-may-have-an-expiring-shelf-life/</v>
      </c>
      <c r="T18" s="240"/>
      <c r="U18" s="241" t="s">
        <v>1721</v>
      </c>
      <c r="V18" s="242" t="s">
        <v>1722</v>
      </c>
      <c r="W18" s="240"/>
    </row>
    <row r="19" spans="1:23" ht="14.25" x14ac:dyDescent="0.3">
      <c r="A19" s="239" t="s">
        <v>1730</v>
      </c>
      <c r="B19" s="240">
        <v>2</v>
      </c>
      <c r="C19" s="240">
        <v>70</v>
      </c>
      <c r="D19" s="240">
        <v>12</v>
      </c>
      <c r="E19" s="240"/>
      <c r="F19" s="241" t="s">
        <v>1721</v>
      </c>
      <c r="G19" s="242" t="s">
        <v>1722</v>
      </c>
      <c r="H19" s="240"/>
      <c r="I19" s="241">
        <v>6</v>
      </c>
      <c r="J19" s="244" t="str">
        <f t="shared" si="5"/>
        <v>https://www.wealthenhancement.com/blog/what-is-a-grat</v>
      </c>
      <c r="K19" s="240"/>
      <c r="L19" s="241" t="s">
        <v>1721</v>
      </c>
      <c r="M19" s="242" t="s">
        <v>1722</v>
      </c>
      <c r="N19" s="240"/>
      <c r="O19" s="241" t="s">
        <v>1721</v>
      </c>
      <c r="P19" s="242" t="s">
        <v>1722</v>
      </c>
      <c r="Q19" s="240"/>
      <c r="R19" s="241">
        <v>10</v>
      </c>
      <c r="S19" s="244" t="str">
        <f t="shared" si="6"/>
        <v>https://creativeplanning.com/education/article/grantor-retained-annuity-trusts-a-useful-estate-planning-tool-that-may-have-an-expiring-shelf-life/</v>
      </c>
      <c r="T19" s="240"/>
      <c r="U19" s="241" t="s">
        <v>1721</v>
      </c>
      <c r="V19" s="242" t="s">
        <v>1722</v>
      </c>
      <c r="W19" s="240"/>
    </row>
    <row r="20" spans="1:23" ht="14.25" x14ac:dyDescent="0.3">
      <c r="A20" s="239" t="s">
        <v>2534</v>
      </c>
      <c r="B20" s="240">
        <v>2</v>
      </c>
      <c r="C20" s="240">
        <v>50</v>
      </c>
      <c r="D20" s="240">
        <v>4</v>
      </c>
      <c r="E20" s="240"/>
      <c r="F20" s="241">
        <v>65</v>
      </c>
      <c r="G20" s="244" t="str">
        <f>HYPERLINK("https://www.examplebusiness.com/","https://www.examplebusiness.com/")</f>
        <v>https://www.examplebusiness.com/</v>
      </c>
      <c r="H20" s="240"/>
      <c r="I20" s="241" t="s">
        <v>1721</v>
      </c>
      <c r="J20" s="242" t="s">
        <v>1722</v>
      </c>
      <c r="K20" s="240"/>
      <c r="L20" s="241" t="s">
        <v>1721</v>
      </c>
      <c r="M20" s="242" t="s">
        <v>1722</v>
      </c>
      <c r="N20" s="240"/>
      <c r="O20" s="241">
        <v>44</v>
      </c>
      <c r="P20" s="244" t="str">
        <f t="shared" ref="P20:P21" si="7">HYPERLINK("https://marksgroup.com/","https://marksgroup.com/")</f>
        <v>https://marksgroup.com/</v>
      </c>
      <c r="Q20" s="240"/>
      <c r="R20" s="241" t="s">
        <v>1721</v>
      </c>
      <c r="S20" s="242" t="s">
        <v>1722</v>
      </c>
      <c r="T20" s="240"/>
      <c r="U20" s="241" t="s">
        <v>1721</v>
      </c>
      <c r="V20" s="242" t="s">
        <v>1722</v>
      </c>
      <c r="W20" s="240"/>
    </row>
    <row r="21" spans="1:23" ht="14.25" x14ac:dyDescent="0.3">
      <c r="A21" s="239" t="s">
        <v>2535</v>
      </c>
      <c r="B21" s="240">
        <v>2</v>
      </c>
      <c r="C21" s="240">
        <v>50</v>
      </c>
      <c r="D21" s="240">
        <v>8</v>
      </c>
      <c r="E21" s="240"/>
      <c r="F21" s="241" t="s">
        <v>1721</v>
      </c>
      <c r="G21" s="242" t="s">
        <v>1722</v>
      </c>
      <c r="H21" s="240"/>
      <c r="I21" s="241" t="s">
        <v>1721</v>
      </c>
      <c r="J21" s="242" t="s">
        <v>1722</v>
      </c>
      <c r="K21" s="240"/>
      <c r="L21" s="241" t="s">
        <v>1721</v>
      </c>
      <c r="M21" s="242" t="s">
        <v>1722</v>
      </c>
      <c r="N21" s="240"/>
      <c r="O21" s="241">
        <v>85</v>
      </c>
      <c r="P21" s="244" t="str">
        <f t="shared" si="7"/>
        <v>https://marksgroup.com/</v>
      </c>
      <c r="Q21" s="240"/>
      <c r="R21" s="241" t="s">
        <v>1721</v>
      </c>
      <c r="S21" s="242" t="s">
        <v>1722</v>
      </c>
      <c r="T21" s="240"/>
      <c r="U21" s="241">
        <v>14</v>
      </c>
      <c r="V21" s="244" t="str">
        <f t="shared" ref="V21:V23" si="8">HYPERLINK("https://www.silveroakwealth.com/","https://www.silveroakwealth.com/")</f>
        <v>https://www.silveroakwealth.com/</v>
      </c>
      <c r="W21" s="240"/>
    </row>
    <row r="22" spans="1:23" ht="14.25" x14ac:dyDescent="0.3">
      <c r="A22" s="239" t="s">
        <v>2536</v>
      </c>
      <c r="B22" s="240">
        <v>2</v>
      </c>
      <c r="C22" s="240">
        <v>50</v>
      </c>
      <c r="D22" s="240">
        <v>12</v>
      </c>
      <c r="E22" s="240"/>
      <c r="F22" s="241">
        <v>69</v>
      </c>
      <c r="G22" s="244" t="str">
        <f>HYPERLINK("https://www.examplebusiness.com/","https://www.examplebusiness.com/")</f>
        <v>https://www.examplebusiness.com/</v>
      </c>
      <c r="H22" s="240"/>
      <c r="I22" s="241" t="s">
        <v>1721</v>
      </c>
      <c r="J22" s="242" t="s">
        <v>1722</v>
      </c>
      <c r="K22" s="240"/>
      <c r="L22" s="241" t="s">
        <v>1721</v>
      </c>
      <c r="M22" s="242" t="s">
        <v>1722</v>
      </c>
      <c r="N22" s="240"/>
      <c r="O22" s="241" t="s">
        <v>1721</v>
      </c>
      <c r="P22" s="242" t="s">
        <v>1722</v>
      </c>
      <c r="Q22" s="240"/>
      <c r="R22" s="241" t="s">
        <v>1721</v>
      </c>
      <c r="S22" s="242" t="s">
        <v>1722</v>
      </c>
      <c r="T22" s="240"/>
      <c r="U22" s="241">
        <v>15</v>
      </c>
      <c r="V22" s="244" t="str">
        <f t="shared" si="8"/>
        <v>https://www.silveroakwealth.com/</v>
      </c>
      <c r="W22" s="240"/>
    </row>
    <row r="23" spans="1:23" ht="14.25" x14ac:dyDescent="0.3">
      <c r="A23" s="239" t="s">
        <v>2537</v>
      </c>
      <c r="B23" s="240">
        <v>2</v>
      </c>
      <c r="C23" s="240">
        <v>50</v>
      </c>
      <c r="D23" s="240">
        <v>10</v>
      </c>
      <c r="E23" s="240"/>
      <c r="F23" s="241" t="s">
        <v>1721</v>
      </c>
      <c r="G23" s="242" t="s">
        <v>1722</v>
      </c>
      <c r="H23" s="240"/>
      <c r="I23" s="241" t="s">
        <v>1721</v>
      </c>
      <c r="J23" s="242" t="s">
        <v>1722</v>
      </c>
      <c r="K23" s="240"/>
      <c r="L23" s="241" t="s">
        <v>1721</v>
      </c>
      <c r="M23" s="242" t="s">
        <v>1722</v>
      </c>
      <c r="N23" s="240"/>
      <c r="O23" s="241">
        <v>86</v>
      </c>
      <c r="P23" s="244" t="str">
        <f>HYPERLINK("https://marksgroup.com/","https://marksgroup.com/")</f>
        <v>https://marksgroup.com/</v>
      </c>
      <c r="Q23" s="240"/>
      <c r="R23" s="241" t="s">
        <v>1721</v>
      </c>
      <c r="S23" s="242" t="s">
        <v>1722</v>
      </c>
      <c r="T23" s="240"/>
      <c r="U23" s="241">
        <v>14</v>
      </c>
      <c r="V23" s="244" t="str">
        <f t="shared" si="8"/>
        <v>https://www.silveroakwealth.com/</v>
      </c>
      <c r="W23" s="240"/>
    </row>
    <row r="24" spans="1:23" ht="14.25" x14ac:dyDescent="0.3">
      <c r="A24" s="239" t="s">
        <v>1731</v>
      </c>
      <c r="B24" s="240">
        <v>2</v>
      </c>
      <c r="C24" s="240">
        <v>50</v>
      </c>
      <c r="D24" s="240">
        <v>12</v>
      </c>
      <c r="E24" s="240"/>
      <c r="F24" s="241" t="s">
        <v>1721</v>
      </c>
      <c r="G24" s="242" t="s">
        <v>1722</v>
      </c>
      <c r="H24" s="240"/>
      <c r="I24" s="241">
        <v>5</v>
      </c>
      <c r="J24" s="244" t="str">
        <f t="shared" ref="J24:J29" si="9">HYPERLINK("https://www.wealthenhancement.com/blog/what-is-a-grat","https://www.wealthenhancement.com/blog/what-is-a-grat")</f>
        <v>https://www.wealthenhancement.com/blog/what-is-a-grat</v>
      </c>
      <c r="K24" s="240"/>
      <c r="L24" s="241" t="s">
        <v>1721</v>
      </c>
      <c r="M24" s="242" t="s">
        <v>1722</v>
      </c>
      <c r="N24" s="240"/>
      <c r="O24" s="241" t="s">
        <v>1721</v>
      </c>
      <c r="P24" s="242" t="s">
        <v>1722</v>
      </c>
      <c r="Q24" s="240"/>
      <c r="R24" s="241">
        <v>18</v>
      </c>
      <c r="S24" s="244" t="str">
        <f t="shared" ref="S24:S29" si="10">HYPERLINK("https://creativeplanning.com/education/article/grantor-retained-annuity-trusts-a-useful-estate-planning-tool-that-may-have-an-expiring-shelf-life/","https://creativeplanning.com/education/article/grantor-retained-annuity-trusts-a-useful-estate-planning-tool-that-may-have-an-expiring-shelf-life/")</f>
        <v>https://creativeplanning.com/education/article/grantor-retained-annuity-trusts-a-useful-estate-planning-tool-that-may-have-an-expiring-shelf-life/</v>
      </c>
      <c r="T24" s="240"/>
      <c r="U24" s="241" t="s">
        <v>1721</v>
      </c>
      <c r="V24" s="242" t="s">
        <v>1722</v>
      </c>
      <c r="W24" s="240"/>
    </row>
    <row r="25" spans="1:23" ht="14.25" x14ac:dyDescent="0.3">
      <c r="A25" s="239" t="s">
        <v>1732</v>
      </c>
      <c r="B25" s="240">
        <v>2</v>
      </c>
      <c r="C25" s="240">
        <v>40</v>
      </c>
      <c r="D25" s="240">
        <v>12</v>
      </c>
      <c r="E25" s="240"/>
      <c r="F25" s="241" t="s">
        <v>1721</v>
      </c>
      <c r="G25" s="242" t="s">
        <v>1722</v>
      </c>
      <c r="H25" s="240"/>
      <c r="I25" s="241">
        <v>6</v>
      </c>
      <c r="J25" s="244" t="str">
        <f t="shared" si="9"/>
        <v>https://www.wealthenhancement.com/blog/what-is-a-grat</v>
      </c>
      <c r="K25" s="240"/>
      <c r="L25" s="241" t="s">
        <v>1721</v>
      </c>
      <c r="M25" s="242" t="s">
        <v>1722</v>
      </c>
      <c r="N25" s="240"/>
      <c r="O25" s="241" t="s">
        <v>1721</v>
      </c>
      <c r="P25" s="242" t="s">
        <v>1722</v>
      </c>
      <c r="Q25" s="240"/>
      <c r="R25" s="241">
        <v>17</v>
      </c>
      <c r="S25" s="244" t="str">
        <f t="shared" si="10"/>
        <v>https://creativeplanning.com/education/article/grantor-retained-annuity-trusts-a-useful-estate-planning-tool-that-may-have-an-expiring-shelf-life/</v>
      </c>
      <c r="T25" s="240"/>
      <c r="U25" s="241" t="s">
        <v>1721</v>
      </c>
      <c r="V25" s="242" t="s">
        <v>1722</v>
      </c>
      <c r="W25" s="240"/>
    </row>
    <row r="26" spans="1:23" ht="14.25" x14ac:dyDescent="0.3">
      <c r="A26" s="239" t="s">
        <v>1733</v>
      </c>
      <c r="B26" s="240">
        <v>2</v>
      </c>
      <c r="C26" s="240">
        <v>40</v>
      </c>
      <c r="D26" s="240">
        <v>3</v>
      </c>
      <c r="E26" s="240"/>
      <c r="F26" s="241" t="s">
        <v>1721</v>
      </c>
      <c r="G26" s="242" t="s">
        <v>1722</v>
      </c>
      <c r="H26" s="240"/>
      <c r="I26" s="241">
        <v>10</v>
      </c>
      <c r="J26" s="244" t="str">
        <f t="shared" si="9"/>
        <v>https://www.wealthenhancement.com/blog/what-is-a-grat</v>
      </c>
      <c r="K26" s="240"/>
      <c r="L26" s="241" t="s">
        <v>1721</v>
      </c>
      <c r="M26" s="242" t="s">
        <v>1722</v>
      </c>
      <c r="N26" s="240"/>
      <c r="O26" s="241" t="s">
        <v>1721</v>
      </c>
      <c r="P26" s="242" t="s">
        <v>1722</v>
      </c>
      <c r="Q26" s="240"/>
      <c r="R26" s="241">
        <v>24</v>
      </c>
      <c r="S26" s="244" t="str">
        <f t="shared" si="10"/>
        <v>https://creativeplanning.com/education/article/grantor-retained-annuity-trusts-a-useful-estate-planning-tool-that-may-have-an-expiring-shelf-life/</v>
      </c>
      <c r="T26" s="240"/>
      <c r="U26" s="241" t="s">
        <v>1721</v>
      </c>
      <c r="V26" s="242" t="s">
        <v>1722</v>
      </c>
      <c r="W26" s="240"/>
    </row>
    <row r="27" spans="1:23" ht="14.25" x14ac:dyDescent="0.3">
      <c r="A27" s="239" t="s">
        <v>1734</v>
      </c>
      <c r="B27" s="240">
        <v>2</v>
      </c>
      <c r="C27" s="240">
        <v>40</v>
      </c>
      <c r="D27" s="240">
        <v>5</v>
      </c>
      <c r="E27" s="240"/>
      <c r="F27" s="241" t="s">
        <v>1721</v>
      </c>
      <c r="G27" s="242" t="s">
        <v>1722</v>
      </c>
      <c r="H27" s="240"/>
      <c r="I27" s="241">
        <v>4</v>
      </c>
      <c r="J27" s="244" t="str">
        <f t="shared" si="9"/>
        <v>https://www.wealthenhancement.com/blog/what-is-a-grat</v>
      </c>
      <c r="K27" s="240"/>
      <c r="L27" s="241" t="s">
        <v>1721</v>
      </c>
      <c r="M27" s="242" t="s">
        <v>1722</v>
      </c>
      <c r="N27" s="240"/>
      <c r="O27" s="241" t="s">
        <v>1721</v>
      </c>
      <c r="P27" s="242" t="s">
        <v>1722</v>
      </c>
      <c r="Q27" s="240"/>
      <c r="R27" s="241">
        <v>11</v>
      </c>
      <c r="S27" s="244" t="str">
        <f t="shared" si="10"/>
        <v>https://creativeplanning.com/education/article/grantor-retained-annuity-trusts-a-useful-estate-planning-tool-that-may-have-an-expiring-shelf-life/</v>
      </c>
      <c r="T27" s="240"/>
      <c r="U27" s="241" t="s">
        <v>1721</v>
      </c>
      <c r="V27" s="242" t="s">
        <v>1722</v>
      </c>
      <c r="W27" s="240"/>
    </row>
    <row r="28" spans="1:23" ht="14.25" x14ac:dyDescent="0.3">
      <c r="A28" s="239" t="s">
        <v>1735</v>
      </c>
      <c r="B28" s="240">
        <v>2</v>
      </c>
      <c r="C28" s="240">
        <v>40</v>
      </c>
      <c r="D28" s="240">
        <v>9</v>
      </c>
      <c r="E28" s="240"/>
      <c r="F28" s="241" t="s">
        <v>1721</v>
      </c>
      <c r="G28" s="242" t="s">
        <v>1722</v>
      </c>
      <c r="H28" s="240"/>
      <c r="I28" s="241">
        <v>4</v>
      </c>
      <c r="J28" s="244" t="str">
        <f t="shared" si="9"/>
        <v>https://www.wealthenhancement.com/blog/what-is-a-grat</v>
      </c>
      <c r="K28" s="240"/>
      <c r="L28" s="241" t="s">
        <v>1721</v>
      </c>
      <c r="M28" s="242" t="s">
        <v>1722</v>
      </c>
      <c r="N28" s="240"/>
      <c r="O28" s="241" t="s">
        <v>1721</v>
      </c>
      <c r="P28" s="242" t="s">
        <v>1722</v>
      </c>
      <c r="Q28" s="240"/>
      <c r="R28" s="241">
        <v>26</v>
      </c>
      <c r="S28" s="244" t="str">
        <f t="shared" si="10"/>
        <v>https://creativeplanning.com/education/article/grantor-retained-annuity-trusts-a-useful-estate-planning-tool-that-may-have-an-expiring-shelf-life/</v>
      </c>
      <c r="T28" s="240"/>
      <c r="U28" s="241" t="s">
        <v>1721</v>
      </c>
      <c r="V28" s="242" t="s">
        <v>1722</v>
      </c>
      <c r="W28" s="240"/>
    </row>
    <row r="29" spans="1:23" ht="14.25" x14ac:dyDescent="0.3">
      <c r="A29" s="239" t="s">
        <v>1736</v>
      </c>
      <c r="B29" s="240">
        <v>2</v>
      </c>
      <c r="C29" s="240">
        <v>40</v>
      </c>
      <c r="D29" s="240">
        <v>12</v>
      </c>
      <c r="E29" s="240"/>
      <c r="F29" s="241" t="s">
        <v>1721</v>
      </c>
      <c r="G29" s="242" t="s">
        <v>1722</v>
      </c>
      <c r="H29" s="240"/>
      <c r="I29" s="241">
        <v>4</v>
      </c>
      <c r="J29" s="244" t="str">
        <f t="shared" si="9"/>
        <v>https://www.wealthenhancement.com/blog/what-is-a-grat</v>
      </c>
      <c r="K29" s="240"/>
      <c r="L29" s="241" t="s">
        <v>1721</v>
      </c>
      <c r="M29" s="242" t="s">
        <v>1722</v>
      </c>
      <c r="N29" s="240"/>
      <c r="O29" s="241" t="s">
        <v>1721</v>
      </c>
      <c r="P29" s="242" t="s">
        <v>1722</v>
      </c>
      <c r="Q29" s="240"/>
      <c r="R29" s="241">
        <v>27</v>
      </c>
      <c r="S29" s="244" t="str">
        <f t="shared" si="10"/>
        <v>https://creativeplanning.com/education/article/grantor-retained-annuity-trusts-a-useful-estate-planning-tool-that-may-have-an-expiring-shelf-life/</v>
      </c>
      <c r="T29" s="240"/>
      <c r="U29" s="241" t="s">
        <v>1721</v>
      </c>
      <c r="V29" s="242" t="s">
        <v>1722</v>
      </c>
      <c r="W29" s="240"/>
    </row>
    <row r="30" spans="1:23" ht="14.25" x14ac:dyDescent="0.3">
      <c r="A30" s="239" t="s">
        <v>2538</v>
      </c>
      <c r="B30" s="240">
        <v>2</v>
      </c>
      <c r="C30" s="240">
        <v>30</v>
      </c>
      <c r="D30" s="240">
        <v>13</v>
      </c>
      <c r="E30" s="240"/>
      <c r="F30" s="241" t="s">
        <v>1721</v>
      </c>
      <c r="G30" s="242" t="s">
        <v>1722</v>
      </c>
      <c r="H30" s="240"/>
      <c r="I30" s="241" t="s">
        <v>1721</v>
      </c>
      <c r="J30" s="242" t="s">
        <v>1722</v>
      </c>
      <c r="K30" s="240"/>
      <c r="L30" s="241" t="s">
        <v>1721</v>
      </c>
      <c r="M30" s="242" t="s">
        <v>1722</v>
      </c>
      <c r="N30" s="240"/>
      <c r="O30" s="241">
        <v>53</v>
      </c>
      <c r="P30" s="244" t="str">
        <f t="shared" ref="P30:P31" si="11">HYPERLINK("https://marksgroup.com/","https://marksgroup.com/")</f>
        <v>https://marksgroup.com/</v>
      </c>
      <c r="Q30" s="240"/>
      <c r="R30" s="241" t="s">
        <v>1721</v>
      </c>
      <c r="S30" s="242" t="s">
        <v>1722</v>
      </c>
      <c r="T30" s="240"/>
      <c r="U30" s="241">
        <v>8</v>
      </c>
      <c r="V30" s="244" t="str">
        <f t="shared" ref="V30:V31" si="12">HYPERLINK("https://www.silveroakwealth.com/","https://www.silveroakwealth.com/")</f>
        <v>https://www.silveroakwealth.com/</v>
      </c>
      <c r="W30" s="240"/>
    </row>
    <row r="31" spans="1:23" ht="14.25" x14ac:dyDescent="0.3">
      <c r="A31" s="239" t="s">
        <v>2539</v>
      </c>
      <c r="B31" s="240">
        <v>2</v>
      </c>
      <c r="C31" s="240">
        <v>30</v>
      </c>
      <c r="D31" s="240">
        <v>13</v>
      </c>
      <c r="E31" s="240"/>
      <c r="F31" s="241" t="s">
        <v>1721</v>
      </c>
      <c r="G31" s="242" t="s">
        <v>1722</v>
      </c>
      <c r="H31" s="240"/>
      <c r="I31" s="241" t="s">
        <v>1721</v>
      </c>
      <c r="J31" s="242" t="s">
        <v>1722</v>
      </c>
      <c r="K31" s="240"/>
      <c r="L31" s="241" t="s">
        <v>1721</v>
      </c>
      <c r="M31" s="242" t="s">
        <v>1722</v>
      </c>
      <c r="N31" s="240"/>
      <c r="O31" s="241">
        <v>41</v>
      </c>
      <c r="P31" s="244" t="str">
        <f t="shared" si="11"/>
        <v>https://marksgroup.com/</v>
      </c>
      <c r="Q31" s="240"/>
      <c r="R31" s="241" t="s">
        <v>1721</v>
      </c>
      <c r="S31" s="242" t="s">
        <v>1722</v>
      </c>
      <c r="T31" s="240"/>
      <c r="U31" s="241">
        <v>6</v>
      </c>
      <c r="V31" s="244" t="str">
        <f t="shared" si="12"/>
        <v>https://www.silveroakwealth.com/</v>
      </c>
      <c r="W31" s="240"/>
    </row>
    <row r="32" spans="1:23" ht="14.25" x14ac:dyDescent="0.3">
      <c r="A32" s="239" t="s">
        <v>1737</v>
      </c>
      <c r="B32" s="240">
        <v>2</v>
      </c>
      <c r="C32" s="240">
        <v>30</v>
      </c>
      <c r="D32" s="240">
        <v>12</v>
      </c>
      <c r="E32" s="240"/>
      <c r="F32" s="241" t="s">
        <v>1721</v>
      </c>
      <c r="G32" s="242" t="s">
        <v>1722</v>
      </c>
      <c r="H32" s="240"/>
      <c r="I32" s="241">
        <v>7</v>
      </c>
      <c r="J32" s="244" t="str">
        <f t="shared" ref="J32:J33" si="13">HYPERLINK("https://www.wealthenhancement.com/blog/what-is-a-grat","https://www.wealthenhancement.com/blog/what-is-a-grat")</f>
        <v>https://www.wealthenhancement.com/blog/what-is-a-grat</v>
      </c>
      <c r="K32" s="240"/>
      <c r="L32" s="241" t="s">
        <v>1721</v>
      </c>
      <c r="M32" s="242" t="s">
        <v>1722</v>
      </c>
      <c r="N32" s="240"/>
      <c r="O32" s="241" t="s">
        <v>1721</v>
      </c>
      <c r="P32" s="242" t="s">
        <v>1722</v>
      </c>
      <c r="Q32" s="240"/>
      <c r="R32" s="241">
        <v>13</v>
      </c>
      <c r="S32" s="244" t="str">
        <f t="shared" ref="S32:S33" si="14">HYPERLINK("https://creativeplanning.com/education/article/grantor-retained-annuity-trusts-a-useful-estate-planning-tool-that-may-have-an-expiring-shelf-life/","https://creativeplanning.com/education/article/grantor-retained-annuity-trusts-a-useful-estate-planning-tool-that-may-have-an-expiring-shelf-life/")</f>
        <v>https://creativeplanning.com/education/article/grantor-retained-annuity-trusts-a-useful-estate-planning-tool-that-may-have-an-expiring-shelf-life/</v>
      </c>
      <c r="T32" s="240"/>
      <c r="U32" s="241" t="s">
        <v>1721</v>
      </c>
      <c r="V32" s="242" t="s">
        <v>1722</v>
      </c>
      <c r="W32" s="240"/>
    </row>
    <row r="33" spans="1:23" ht="14.25" x14ac:dyDescent="0.3">
      <c r="A33" s="239" t="s">
        <v>1738</v>
      </c>
      <c r="B33" s="240">
        <v>2</v>
      </c>
      <c r="C33" s="240">
        <v>30</v>
      </c>
      <c r="D33" s="240">
        <v>2</v>
      </c>
      <c r="E33" s="240"/>
      <c r="F33" s="241" t="s">
        <v>1721</v>
      </c>
      <c r="G33" s="242" t="s">
        <v>1722</v>
      </c>
      <c r="H33" s="240"/>
      <c r="I33" s="241">
        <v>8</v>
      </c>
      <c r="J33" s="244" t="str">
        <f t="shared" si="13"/>
        <v>https://www.wealthenhancement.com/blog/what-is-a-grat</v>
      </c>
      <c r="K33" s="240"/>
      <c r="L33" s="241" t="s">
        <v>1721</v>
      </c>
      <c r="M33" s="242" t="s">
        <v>1722</v>
      </c>
      <c r="N33" s="240"/>
      <c r="O33" s="241" t="s">
        <v>1721</v>
      </c>
      <c r="P33" s="242" t="s">
        <v>1722</v>
      </c>
      <c r="Q33" s="240"/>
      <c r="R33" s="241">
        <v>9</v>
      </c>
      <c r="S33" s="244" t="str">
        <f t="shared" si="14"/>
        <v>https://creativeplanning.com/education/article/grantor-retained-annuity-trusts-a-useful-estate-planning-tool-that-may-have-an-expiring-shelf-life/</v>
      </c>
      <c r="T33" s="240"/>
      <c r="U33" s="241" t="s">
        <v>1721</v>
      </c>
      <c r="V33" s="242" t="s">
        <v>1722</v>
      </c>
      <c r="W33" s="240"/>
    </row>
    <row r="34" spans="1:23" ht="14.25" x14ac:dyDescent="0.3">
      <c r="A34" s="239" t="s">
        <v>1739</v>
      </c>
      <c r="B34" s="240">
        <v>2</v>
      </c>
      <c r="C34" s="240">
        <v>30</v>
      </c>
      <c r="D34" s="240">
        <v>33</v>
      </c>
      <c r="E34" s="240"/>
      <c r="F34" s="241" t="s">
        <v>1721</v>
      </c>
      <c r="G34" s="242" t="s">
        <v>1722</v>
      </c>
      <c r="H34" s="240"/>
      <c r="I34" s="241" t="s">
        <v>1721</v>
      </c>
      <c r="J34" s="242" t="s">
        <v>1722</v>
      </c>
      <c r="K34" s="240"/>
      <c r="L34" s="241" t="s">
        <v>1721</v>
      </c>
      <c r="M34" s="242" t="s">
        <v>1722</v>
      </c>
      <c r="N34" s="240"/>
      <c r="O34" s="241" t="s">
        <v>1721</v>
      </c>
      <c r="P34" s="242" t="s">
        <v>1722</v>
      </c>
      <c r="Q34" s="240"/>
      <c r="R34" s="241">
        <v>14</v>
      </c>
      <c r="S34" s="244" t="str">
        <f>HYPERLINK("https://creativeplanning.com/press-room/barrons/","https://creativeplanning.com/press-room/barrons/")</f>
        <v>https://creativeplanning.com/press-room/barrons/</v>
      </c>
      <c r="T34" s="240"/>
      <c r="U34" s="241">
        <v>25</v>
      </c>
      <c r="V34" s="244" t="str">
        <f t="shared" ref="V34:V36" si="15">HYPERLINK("https://www.silveroakwealth.com/","https://www.silveroakwealth.com/")</f>
        <v>https://www.silveroakwealth.com/</v>
      </c>
      <c r="W34" s="240"/>
    </row>
    <row r="35" spans="1:23" ht="14.25" x14ac:dyDescent="0.3">
      <c r="A35" s="239" t="s">
        <v>1740</v>
      </c>
      <c r="B35" s="240">
        <v>2</v>
      </c>
      <c r="C35" s="240">
        <v>30</v>
      </c>
      <c r="D35" s="240">
        <v>39</v>
      </c>
      <c r="E35" s="240"/>
      <c r="F35" s="241" t="s">
        <v>1721</v>
      </c>
      <c r="G35" s="242" t="s">
        <v>1722</v>
      </c>
      <c r="H35" s="240"/>
      <c r="I35" s="241" t="s">
        <v>1721</v>
      </c>
      <c r="J35" s="242" t="s">
        <v>1722</v>
      </c>
      <c r="K35" s="240"/>
      <c r="L35" s="241" t="s">
        <v>1721</v>
      </c>
      <c r="M35" s="242" t="s">
        <v>1722</v>
      </c>
      <c r="N35" s="240"/>
      <c r="O35" s="241" t="s">
        <v>1721</v>
      </c>
      <c r="P35" s="242" t="s">
        <v>1722</v>
      </c>
      <c r="Q35" s="240"/>
      <c r="R35" s="241">
        <v>35</v>
      </c>
      <c r="S35" s="244" t="str">
        <f>HYPERLINK("https://creativeplanning.com/education/article/top-wealth-managers-2006/","https://creativeplanning.com/education/article/top-wealth-managers-2006/")</f>
        <v>https://creativeplanning.com/education/article/top-wealth-managers-2006/</v>
      </c>
      <c r="T35" s="240"/>
      <c r="U35" s="241">
        <v>59</v>
      </c>
      <c r="V35" s="244" t="str">
        <f t="shared" si="15"/>
        <v>https://www.silveroakwealth.com/</v>
      </c>
      <c r="W35" s="240"/>
    </row>
    <row r="36" spans="1:23" ht="14.25" x14ac:dyDescent="0.3">
      <c r="A36" s="239" t="s">
        <v>2540</v>
      </c>
      <c r="B36" s="240">
        <v>3</v>
      </c>
      <c r="C36" s="240">
        <v>30</v>
      </c>
      <c r="D36" s="240">
        <v>7</v>
      </c>
      <c r="E36" s="240"/>
      <c r="F36" s="241" t="s">
        <v>1721</v>
      </c>
      <c r="G36" s="242" t="s">
        <v>1722</v>
      </c>
      <c r="H36" s="240"/>
      <c r="I36" s="241" t="s">
        <v>1721</v>
      </c>
      <c r="J36" s="242" t="s">
        <v>1722</v>
      </c>
      <c r="K36" s="240"/>
      <c r="L36" s="241">
        <v>47</v>
      </c>
      <c r="M36" s="244" t="str">
        <f>HYPERLINK("https://www.accredited.com/","https://www.accredited.com/")</f>
        <v>https://www.accredited.com/</v>
      </c>
      <c r="N36" s="240"/>
      <c r="O36" s="241">
        <v>20</v>
      </c>
      <c r="P36" s="244" t="str">
        <f t="shared" ref="P36:P38" si="16">HYPERLINK("https://marksgroup.com/","https://marksgroup.com/")</f>
        <v>https://marksgroup.com/</v>
      </c>
      <c r="Q36" s="240"/>
      <c r="R36" s="241" t="s">
        <v>1721</v>
      </c>
      <c r="S36" s="242" t="s">
        <v>1722</v>
      </c>
      <c r="T36" s="240"/>
      <c r="U36" s="241">
        <v>13</v>
      </c>
      <c r="V36" s="244" t="str">
        <f t="shared" si="15"/>
        <v>https://www.silveroakwealth.com/</v>
      </c>
      <c r="W36" s="240"/>
    </row>
    <row r="37" spans="1:23" ht="14.25" x14ac:dyDescent="0.3">
      <c r="A37" s="239" t="s">
        <v>2541</v>
      </c>
      <c r="B37" s="240">
        <v>2</v>
      </c>
      <c r="C37" s="240">
        <v>20</v>
      </c>
      <c r="D37" s="240">
        <v>2</v>
      </c>
      <c r="E37" s="240"/>
      <c r="F37" s="241">
        <v>49</v>
      </c>
      <c r="G37" s="244" t="str">
        <f>HYPERLINK("https://www.examplebusiness.com/","https://www.examplebusiness.com/")</f>
        <v>https://www.examplebusiness.com/</v>
      </c>
      <c r="H37" s="240"/>
      <c r="I37" s="241" t="s">
        <v>1721</v>
      </c>
      <c r="J37" s="242" t="s">
        <v>1722</v>
      </c>
      <c r="K37" s="240"/>
      <c r="L37" s="241" t="s">
        <v>1721</v>
      </c>
      <c r="M37" s="242" t="s">
        <v>1722</v>
      </c>
      <c r="N37" s="240"/>
      <c r="O37" s="241">
        <v>38</v>
      </c>
      <c r="P37" s="244" t="str">
        <f t="shared" si="16"/>
        <v>https://marksgroup.com/</v>
      </c>
      <c r="Q37" s="240"/>
      <c r="R37" s="241" t="s">
        <v>1721</v>
      </c>
      <c r="S37" s="242" t="s">
        <v>1722</v>
      </c>
      <c r="T37" s="240"/>
      <c r="U37" s="241" t="s">
        <v>1721</v>
      </c>
      <c r="V37" s="242" t="s">
        <v>1722</v>
      </c>
      <c r="W37" s="240"/>
    </row>
    <row r="38" spans="1:23" ht="14.25" x14ac:dyDescent="0.3">
      <c r="A38" s="239" t="s">
        <v>2542</v>
      </c>
      <c r="B38" s="240">
        <v>2</v>
      </c>
      <c r="C38" s="240">
        <v>20</v>
      </c>
      <c r="D38" s="240">
        <v>8</v>
      </c>
      <c r="E38" s="240"/>
      <c r="F38" s="241" t="s">
        <v>1721</v>
      </c>
      <c r="G38" s="242" t="s">
        <v>1722</v>
      </c>
      <c r="H38" s="240"/>
      <c r="I38" s="241" t="s">
        <v>1721</v>
      </c>
      <c r="J38" s="242" t="s">
        <v>1722</v>
      </c>
      <c r="K38" s="240"/>
      <c r="L38" s="241" t="s">
        <v>1721</v>
      </c>
      <c r="M38" s="242" t="s">
        <v>1722</v>
      </c>
      <c r="N38" s="240"/>
      <c r="O38" s="241">
        <v>26</v>
      </c>
      <c r="P38" s="244" t="str">
        <f t="shared" si="16"/>
        <v>https://marksgroup.com/</v>
      </c>
      <c r="Q38" s="240"/>
      <c r="R38" s="241" t="s">
        <v>1721</v>
      </c>
      <c r="S38" s="242" t="s">
        <v>1722</v>
      </c>
      <c r="T38" s="240"/>
      <c r="U38" s="241">
        <v>17</v>
      </c>
      <c r="V38" s="244" t="str">
        <f>HYPERLINK("https://www.silveroakwealth.com/","https://www.silveroakwealth.com/")</f>
        <v>https://www.silveroakwealth.com/</v>
      </c>
      <c r="W38" s="240"/>
    </row>
    <row r="39" spans="1:23" ht="14.25" x14ac:dyDescent="0.3">
      <c r="A39" s="239" t="s">
        <v>1741</v>
      </c>
      <c r="B39" s="240">
        <v>2</v>
      </c>
      <c r="C39" s="240">
        <v>20</v>
      </c>
      <c r="D39" s="240">
        <v>12</v>
      </c>
      <c r="E39" s="240"/>
      <c r="F39" s="241" t="s">
        <v>1721</v>
      </c>
      <c r="G39" s="242" t="s">
        <v>1722</v>
      </c>
      <c r="H39" s="240"/>
      <c r="I39" s="241">
        <v>6</v>
      </c>
      <c r="J39" s="244" t="str">
        <f t="shared" ref="J39:J42" si="17">HYPERLINK("https://www.wealthenhancement.com/blog/what-is-a-grat","https://www.wealthenhancement.com/blog/what-is-a-grat")</f>
        <v>https://www.wealthenhancement.com/blog/what-is-a-grat</v>
      </c>
      <c r="K39" s="240"/>
      <c r="L39" s="241" t="s">
        <v>1721</v>
      </c>
      <c r="M39" s="242" t="s">
        <v>1722</v>
      </c>
      <c r="N39" s="240"/>
      <c r="O39" s="241" t="s">
        <v>1721</v>
      </c>
      <c r="P39" s="242" t="s">
        <v>1722</v>
      </c>
      <c r="Q39" s="240"/>
      <c r="R39" s="241">
        <v>15</v>
      </c>
      <c r="S39" s="244" t="str">
        <f t="shared" ref="S39:S42" si="18">HYPERLINK("https://creativeplanning.com/education/article/grantor-retained-annuity-trusts-a-useful-estate-planning-tool-that-may-have-an-expiring-shelf-life/","https://creativeplanning.com/education/article/grantor-retained-annuity-trusts-a-useful-estate-planning-tool-that-may-have-an-expiring-shelf-life/")</f>
        <v>https://creativeplanning.com/education/article/grantor-retained-annuity-trusts-a-useful-estate-planning-tool-that-may-have-an-expiring-shelf-life/</v>
      </c>
      <c r="T39" s="240"/>
      <c r="U39" s="241" t="s">
        <v>1721</v>
      </c>
      <c r="V39" s="242" t="s">
        <v>1722</v>
      </c>
      <c r="W39" s="240"/>
    </row>
    <row r="40" spans="1:23" ht="14.25" x14ac:dyDescent="0.3">
      <c r="A40" s="239" t="s">
        <v>1742</v>
      </c>
      <c r="B40" s="240">
        <v>2</v>
      </c>
      <c r="C40" s="240">
        <v>20</v>
      </c>
      <c r="D40" s="240">
        <v>15</v>
      </c>
      <c r="E40" s="240"/>
      <c r="F40" s="241" t="s">
        <v>1721</v>
      </c>
      <c r="G40" s="242" t="s">
        <v>1722</v>
      </c>
      <c r="H40" s="240"/>
      <c r="I40" s="241">
        <v>4</v>
      </c>
      <c r="J40" s="244" t="str">
        <f t="shared" si="17"/>
        <v>https://www.wealthenhancement.com/blog/what-is-a-grat</v>
      </c>
      <c r="K40" s="240"/>
      <c r="L40" s="241" t="s">
        <v>1721</v>
      </c>
      <c r="M40" s="242" t="s">
        <v>1722</v>
      </c>
      <c r="N40" s="240"/>
      <c r="O40" s="241" t="s">
        <v>1721</v>
      </c>
      <c r="P40" s="242" t="s">
        <v>1722</v>
      </c>
      <c r="Q40" s="240"/>
      <c r="R40" s="241">
        <v>22</v>
      </c>
      <c r="S40" s="244" t="str">
        <f t="shared" si="18"/>
        <v>https://creativeplanning.com/education/article/grantor-retained-annuity-trusts-a-useful-estate-planning-tool-that-may-have-an-expiring-shelf-life/</v>
      </c>
      <c r="T40" s="240"/>
      <c r="U40" s="241" t="s">
        <v>1721</v>
      </c>
      <c r="V40" s="242" t="s">
        <v>1722</v>
      </c>
      <c r="W40" s="240"/>
    </row>
    <row r="41" spans="1:23" ht="14.25" x14ac:dyDescent="0.3">
      <c r="A41" s="239" t="s">
        <v>1743</v>
      </c>
      <c r="B41" s="240">
        <v>2</v>
      </c>
      <c r="C41" s="240">
        <v>20</v>
      </c>
      <c r="D41" s="240">
        <v>8</v>
      </c>
      <c r="E41" s="240"/>
      <c r="F41" s="241" t="s">
        <v>1721</v>
      </c>
      <c r="G41" s="242" t="s">
        <v>1722</v>
      </c>
      <c r="H41" s="240"/>
      <c r="I41" s="241">
        <v>4</v>
      </c>
      <c r="J41" s="244" t="str">
        <f t="shared" si="17"/>
        <v>https://www.wealthenhancement.com/blog/what-is-a-grat</v>
      </c>
      <c r="K41" s="240"/>
      <c r="L41" s="241" t="s">
        <v>1721</v>
      </c>
      <c r="M41" s="242" t="s">
        <v>1722</v>
      </c>
      <c r="N41" s="240"/>
      <c r="O41" s="241" t="s">
        <v>1721</v>
      </c>
      <c r="P41" s="242" t="s">
        <v>1722</v>
      </c>
      <c r="Q41" s="240"/>
      <c r="R41" s="241">
        <v>14</v>
      </c>
      <c r="S41" s="244" t="str">
        <f t="shared" si="18"/>
        <v>https://creativeplanning.com/education/article/grantor-retained-annuity-trusts-a-useful-estate-planning-tool-that-may-have-an-expiring-shelf-life/</v>
      </c>
      <c r="T41" s="240"/>
      <c r="U41" s="241" t="s">
        <v>1721</v>
      </c>
      <c r="V41" s="242" t="s">
        <v>1722</v>
      </c>
      <c r="W41" s="240"/>
    </row>
    <row r="42" spans="1:23" ht="14.25" x14ac:dyDescent="0.3">
      <c r="A42" s="239" t="s">
        <v>1744</v>
      </c>
      <c r="B42" s="240">
        <v>2</v>
      </c>
      <c r="C42" s="240">
        <v>20</v>
      </c>
      <c r="D42" s="240">
        <v>11</v>
      </c>
      <c r="E42" s="240"/>
      <c r="F42" s="241" t="s">
        <v>1721</v>
      </c>
      <c r="G42" s="242" t="s">
        <v>1722</v>
      </c>
      <c r="H42" s="240"/>
      <c r="I42" s="241">
        <v>6</v>
      </c>
      <c r="J42" s="244" t="str">
        <f t="shared" si="17"/>
        <v>https://www.wealthenhancement.com/blog/what-is-a-grat</v>
      </c>
      <c r="K42" s="240"/>
      <c r="L42" s="241" t="s">
        <v>1721</v>
      </c>
      <c r="M42" s="242" t="s">
        <v>1722</v>
      </c>
      <c r="N42" s="240"/>
      <c r="O42" s="241" t="s">
        <v>1721</v>
      </c>
      <c r="P42" s="242" t="s">
        <v>1722</v>
      </c>
      <c r="Q42" s="240"/>
      <c r="R42" s="241">
        <v>44</v>
      </c>
      <c r="S42" s="244" t="str">
        <f t="shared" si="18"/>
        <v>https://creativeplanning.com/education/article/grantor-retained-annuity-trusts-a-useful-estate-planning-tool-that-may-have-an-expiring-shelf-life/</v>
      </c>
      <c r="T42" s="240"/>
      <c r="U42" s="241" t="s">
        <v>1721</v>
      </c>
      <c r="V42" s="242" t="s">
        <v>1722</v>
      </c>
      <c r="W42" s="240"/>
    </row>
    <row r="43" spans="1:23" ht="14.25" x14ac:dyDescent="0.3">
      <c r="A43" s="239" t="s">
        <v>417</v>
      </c>
      <c r="B43" s="240">
        <v>2</v>
      </c>
      <c r="C43" s="240">
        <v>20</v>
      </c>
      <c r="D43" s="240">
        <v>4</v>
      </c>
      <c r="E43" s="240"/>
      <c r="F43" s="241" t="s">
        <v>1721</v>
      </c>
      <c r="G43" s="242" t="s">
        <v>1722</v>
      </c>
      <c r="H43" s="240"/>
      <c r="I43" s="241" t="s">
        <v>1721</v>
      </c>
      <c r="J43" s="242" t="s">
        <v>1722</v>
      </c>
      <c r="K43" s="240"/>
      <c r="L43" s="241">
        <v>76</v>
      </c>
      <c r="M43" s="244" t="str">
        <f>HYPERLINK("https://www.accredited.com/blog/person/jenna-holm/","https://www.accredited.com/blog/person/jenna-holm/")</f>
        <v>https://www.accredited.com/blog/person/jenna-holm/</v>
      </c>
      <c r="N43" s="240"/>
      <c r="O43" s="241" t="s">
        <v>1721</v>
      </c>
      <c r="P43" s="242" t="s">
        <v>1722</v>
      </c>
      <c r="Q43" s="240"/>
      <c r="R43" s="241" t="s">
        <v>1721</v>
      </c>
      <c r="S43" s="242" t="s">
        <v>1722</v>
      </c>
      <c r="T43" s="240"/>
      <c r="U43" s="241">
        <v>59</v>
      </c>
      <c r="V43" s="244" t="str">
        <f>HYPERLINK("https://www.silveroakwealth.com/janelle-luense","https://www.silveroakwealth.com/janelle-luense")</f>
        <v>https://www.silveroakwealth.com/janelle-luense</v>
      </c>
      <c r="W43" s="240"/>
    </row>
    <row r="44" spans="1:23" ht="14.25" x14ac:dyDescent="0.3">
      <c r="A44" s="239" t="s">
        <v>416</v>
      </c>
      <c r="B44" s="240">
        <v>3</v>
      </c>
      <c r="C44" s="240">
        <v>20</v>
      </c>
      <c r="D44" s="240">
        <v>2</v>
      </c>
      <c r="E44" s="240"/>
      <c r="F44" s="241" t="s">
        <v>1721</v>
      </c>
      <c r="G44" s="242" t="s">
        <v>1722</v>
      </c>
      <c r="H44" s="240"/>
      <c r="I44" s="241" t="s">
        <v>1721</v>
      </c>
      <c r="J44" s="242" t="s">
        <v>1722</v>
      </c>
      <c r="K44" s="240"/>
      <c r="L44" s="241">
        <v>33</v>
      </c>
      <c r="M44" s="244" t="str">
        <f>HYPERLINK("https://www.accredited.com/","https://www.accredited.com/")</f>
        <v>https://www.accredited.com/</v>
      </c>
      <c r="N44" s="240"/>
      <c r="O44" s="241">
        <v>17</v>
      </c>
      <c r="P44" s="244" t="str">
        <f t="shared" ref="P44:P50" si="19">HYPERLINK("https://marksgroup.com/","https://marksgroup.com/")</f>
        <v>https://marksgroup.com/</v>
      </c>
      <c r="Q44" s="240"/>
      <c r="R44" s="241" t="s">
        <v>1721</v>
      </c>
      <c r="S44" s="242" t="s">
        <v>1722</v>
      </c>
      <c r="T44" s="240"/>
      <c r="U44" s="241">
        <v>7</v>
      </c>
      <c r="V44" s="244" t="str">
        <f t="shared" ref="V44:V45" si="20">HYPERLINK("https://www.silveroakwealth.com/","https://www.silveroakwealth.com/")</f>
        <v>https://www.silveroakwealth.com/</v>
      </c>
      <c r="W44" s="240"/>
    </row>
    <row r="45" spans="1:23" ht="14.25" x14ac:dyDescent="0.3">
      <c r="A45" s="239" t="s">
        <v>385</v>
      </c>
      <c r="B45" s="240">
        <v>2</v>
      </c>
      <c r="C45" s="240">
        <v>20</v>
      </c>
      <c r="D45" s="240">
        <v>9</v>
      </c>
      <c r="E45" s="240"/>
      <c r="F45" s="241" t="s">
        <v>1721</v>
      </c>
      <c r="G45" s="242" t="s">
        <v>1722</v>
      </c>
      <c r="H45" s="240"/>
      <c r="I45" s="241" t="s">
        <v>1721</v>
      </c>
      <c r="J45" s="242" t="s">
        <v>1722</v>
      </c>
      <c r="K45" s="240"/>
      <c r="L45" s="241" t="s">
        <v>1721</v>
      </c>
      <c r="M45" s="242" t="s">
        <v>1722</v>
      </c>
      <c r="N45" s="240"/>
      <c r="O45" s="241">
        <v>34</v>
      </c>
      <c r="P45" s="244" t="str">
        <f t="shared" si="19"/>
        <v>https://marksgroup.com/</v>
      </c>
      <c r="Q45" s="240"/>
      <c r="R45" s="241" t="s">
        <v>1721</v>
      </c>
      <c r="S45" s="242" t="s">
        <v>1722</v>
      </c>
      <c r="T45" s="240"/>
      <c r="U45" s="241">
        <v>7</v>
      </c>
      <c r="V45" s="244" t="str">
        <f t="shared" si="20"/>
        <v>https://www.silveroakwealth.com/</v>
      </c>
      <c r="W45" s="240"/>
    </row>
    <row r="46" spans="1:23" ht="14.25" x14ac:dyDescent="0.3">
      <c r="A46" s="239" t="s">
        <v>2543</v>
      </c>
      <c r="B46" s="240">
        <v>2</v>
      </c>
      <c r="C46" s="240">
        <v>20</v>
      </c>
      <c r="D46" s="240">
        <v>25</v>
      </c>
      <c r="E46" s="240"/>
      <c r="F46" s="241">
        <v>79</v>
      </c>
      <c r="G46" s="244" t="str">
        <f>HYPERLINK("https://www.examplebusiness.com/","https://www.examplebusiness.com/")</f>
        <v>https://www.examplebusiness.com/</v>
      </c>
      <c r="H46" s="240"/>
      <c r="I46" s="241" t="s">
        <v>1721</v>
      </c>
      <c r="J46" s="242" t="s">
        <v>1722</v>
      </c>
      <c r="K46" s="240"/>
      <c r="L46" s="241" t="s">
        <v>1721</v>
      </c>
      <c r="M46" s="242" t="s">
        <v>1722</v>
      </c>
      <c r="N46" s="240"/>
      <c r="O46" s="241">
        <v>72</v>
      </c>
      <c r="P46" s="244" t="str">
        <f t="shared" si="19"/>
        <v>https://marksgroup.com/</v>
      </c>
      <c r="Q46" s="240"/>
      <c r="R46" s="241" t="s">
        <v>1721</v>
      </c>
      <c r="S46" s="242" t="s">
        <v>1722</v>
      </c>
      <c r="T46" s="240"/>
      <c r="U46" s="241" t="s">
        <v>1721</v>
      </c>
      <c r="V46" s="242" t="s">
        <v>1722</v>
      </c>
      <c r="W46" s="240"/>
    </row>
    <row r="47" spans="1:23" ht="14.25" x14ac:dyDescent="0.3">
      <c r="A47" s="239" t="s">
        <v>2544</v>
      </c>
      <c r="B47" s="240">
        <v>2</v>
      </c>
      <c r="C47" s="240">
        <v>20</v>
      </c>
      <c r="D47" s="240">
        <v>40</v>
      </c>
      <c r="E47" s="240"/>
      <c r="F47" s="241">
        <v>97</v>
      </c>
      <c r="G47" s="244" t="str">
        <f>HYPERLINK("https://www.examplebusiness.com/","https://www.examplebusiness.com/")</f>
        <v>https://www.examplebusiness.com/</v>
      </c>
      <c r="H47" s="240"/>
      <c r="I47" s="241" t="s">
        <v>1721</v>
      </c>
      <c r="J47" s="242" t="s">
        <v>1722</v>
      </c>
      <c r="K47" s="240"/>
      <c r="L47" s="241" t="s">
        <v>1721</v>
      </c>
      <c r="M47" s="242" t="s">
        <v>1722</v>
      </c>
      <c r="N47" s="240"/>
      <c r="O47" s="241">
        <v>41</v>
      </c>
      <c r="P47" s="244" t="str">
        <f t="shared" si="19"/>
        <v>https://marksgroup.com/</v>
      </c>
      <c r="Q47" s="240"/>
      <c r="R47" s="241" t="s">
        <v>1721</v>
      </c>
      <c r="S47" s="242" t="s">
        <v>1722</v>
      </c>
      <c r="T47" s="240"/>
      <c r="U47" s="241" t="s">
        <v>1721</v>
      </c>
      <c r="V47" s="242" t="s">
        <v>1722</v>
      </c>
      <c r="W47" s="240"/>
    </row>
    <row r="48" spans="1:23" ht="14.25" x14ac:dyDescent="0.3">
      <c r="A48" s="239" t="s">
        <v>2545</v>
      </c>
      <c r="B48" s="240">
        <v>2</v>
      </c>
      <c r="C48" s="240">
        <v>20</v>
      </c>
      <c r="D48" s="240">
        <v>49</v>
      </c>
      <c r="E48" s="240"/>
      <c r="F48" s="241" t="s">
        <v>1721</v>
      </c>
      <c r="G48" s="242" t="s">
        <v>1722</v>
      </c>
      <c r="H48" s="240"/>
      <c r="I48" s="241" t="s">
        <v>1721</v>
      </c>
      <c r="J48" s="242" t="s">
        <v>1722</v>
      </c>
      <c r="K48" s="240"/>
      <c r="L48" s="241" t="s">
        <v>1721</v>
      </c>
      <c r="M48" s="242" t="s">
        <v>1722</v>
      </c>
      <c r="N48" s="240"/>
      <c r="O48" s="241">
        <v>63</v>
      </c>
      <c r="P48" s="244" t="str">
        <f t="shared" si="19"/>
        <v>https://marksgroup.com/</v>
      </c>
      <c r="Q48" s="240"/>
      <c r="R48" s="241">
        <v>35</v>
      </c>
      <c r="S48" s="244" t="str">
        <f>HYPERLINK("https://creativeplanning.com/","https://creativeplanning.com/")</f>
        <v>https://creativeplanning.com/</v>
      </c>
      <c r="T48" s="240"/>
      <c r="U48" s="241" t="s">
        <v>1721</v>
      </c>
      <c r="V48" s="242" t="s">
        <v>1722</v>
      </c>
      <c r="W48" s="240"/>
    </row>
    <row r="49" spans="1:23" ht="14.25" x14ac:dyDescent="0.3">
      <c r="A49" s="239" t="s">
        <v>380</v>
      </c>
      <c r="B49" s="240">
        <v>4</v>
      </c>
      <c r="C49" s="240">
        <v>20</v>
      </c>
      <c r="D49" s="240">
        <v>13</v>
      </c>
      <c r="E49" s="240"/>
      <c r="F49" s="241" t="s">
        <v>1721</v>
      </c>
      <c r="G49" s="242" t="s">
        <v>1722</v>
      </c>
      <c r="H49" s="240"/>
      <c r="I49" s="241">
        <v>6</v>
      </c>
      <c r="J49" s="244" t="str">
        <f>HYPERLINK("https://www.wealthenhancement.com/news/twin-cities-largest-wealth-management-firms","https://www.wealthenhancement.com/news/twin-cities-largest-wealth-management-firms")</f>
        <v>https://www.wealthenhancement.com/news/twin-cities-largest-wealth-management-firms</v>
      </c>
      <c r="K49" s="240"/>
      <c r="L49" s="241">
        <v>11</v>
      </c>
      <c r="M49" s="244" t="str">
        <f t="shared" ref="M49:M50" si="21">HYPERLINK("https://www.accredited.com/","https://www.accredited.com/")</f>
        <v>https://www.accredited.com/</v>
      </c>
      <c r="N49" s="240"/>
      <c r="O49" s="241">
        <v>14</v>
      </c>
      <c r="P49" s="244" t="str">
        <f t="shared" si="19"/>
        <v>https://marksgroup.com/</v>
      </c>
      <c r="Q49" s="240"/>
      <c r="R49" s="241" t="s">
        <v>1721</v>
      </c>
      <c r="S49" s="242" t="s">
        <v>1722</v>
      </c>
      <c r="T49" s="240"/>
      <c r="U49" s="241">
        <v>1</v>
      </c>
      <c r="V49" s="244" t="str">
        <f t="shared" ref="V49:V51" si="22">HYPERLINK("https://www.silveroakwealth.com/","https://www.silveroakwealth.com/")</f>
        <v>https://www.silveroakwealth.com/</v>
      </c>
      <c r="W49" s="240"/>
    </row>
    <row r="50" spans="1:23" ht="14.25" x14ac:dyDescent="0.3">
      <c r="A50" s="239" t="s">
        <v>305</v>
      </c>
      <c r="B50" s="240">
        <v>3</v>
      </c>
      <c r="C50" s="240">
        <v>20</v>
      </c>
      <c r="D50" s="240">
        <v>30</v>
      </c>
      <c r="E50" s="240"/>
      <c r="F50" s="241" t="s">
        <v>1721</v>
      </c>
      <c r="G50" s="242" t="s">
        <v>1722</v>
      </c>
      <c r="H50" s="240"/>
      <c r="I50" s="241" t="s">
        <v>1721</v>
      </c>
      <c r="J50" s="242" t="s">
        <v>1722</v>
      </c>
      <c r="K50" s="240"/>
      <c r="L50" s="241">
        <v>18</v>
      </c>
      <c r="M50" s="244" t="str">
        <f t="shared" si="21"/>
        <v>https://www.accredited.com/</v>
      </c>
      <c r="N50" s="240"/>
      <c r="O50" s="241">
        <v>4</v>
      </c>
      <c r="P50" s="244" t="str">
        <f t="shared" si="19"/>
        <v>https://marksgroup.com/</v>
      </c>
      <c r="Q50" s="240"/>
      <c r="R50" s="241" t="s">
        <v>1721</v>
      </c>
      <c r="S50" s="242" t="s">
        <v>1722</v>
      </c>
      <c r="T50" s="240"/>
      <c r="U50" s="241">
        <v>2</v>
      </c>
      <c r="V50" s="244" t="str">
        <f t="shared" si="22"/>
        <v>https://www.silveroakwealth.com/</v>
      </c>
      <c r="W50" s="240"/>
    </row>
    <row r="51" spans="1:23" ht="14.25" x14ac:dyDescent="0.3">
      <c r="A51" s="239" t="s">
        <v>1745</v>
      </c>
      <c r="B51" s="240">
        <v>2</v>
      </c>
      <c r="C51" s="240">
        <v>20</v>
      </c>
      <c r="D51" s="240">
        <v>95</v>
      </c>
      <c r="E51" s="240"/>
      <c r="F51" s="241" t="s">
        <v>1721</v>
      </c>
      <c r="G51" s="242" t="s">
        <v>1722</v>
      </c>
      <c r="H51" s="240"/>
      <c r="I51" s="241" t="s">
        <v>1721</v>
      </c>
      <c r="J51" s="242" t="s">
        <v>1722</v>
      </c>
      <c r="K51" s="240"/>
      <c r="L51" s="241" t="s">
        <v>1721</v>
      </c>
      <c r="M51" s="242" t="s">
        <v>1722</v>
      </c>
      <c r="N51" s="240"/>
      <c r="O51" s="241" t="s">
        <v>1721</v>
      </c>
      <c r="P51" s="242" t="s">
        <v>1722</v>
      </c>
      <c r="Q51" s="240"/>
      <c r="R51" s="241">
        <v>23</v>
      </c>
      <c r="S51" s="244" t="str">
        <f>HYPERLINK("https://creativeplanning.com/","https://creativeplanning.com/")</f>
        <v>https://creativeplanning.com/</v>
      </c>
      <c r="T51" s="240"/>
      <c r="U51" s="241">
        <v>42</v>
      </c>
      <c r="V51" s="244" t="str">
        <f t="shared" si="22"/>
        <v>https://www.silveroakwealth.com/</v>
      </c>
      <c r="W51" s="240"/>
    </row>
    <row r="52" spans="1:23" ht="14.25" x14ac:dyDescent="0.3">
      <c r="A52" s="239" t="s">
        <v>1746</v>
      </c>
      <c r="B52" s="240">
        <v>2</v>
      </c>
      <c r="C52" s="240">
        <v>20</v>
      </c>
      <c r="D52" s="240">
        <v>12</v>
      </c>
      <c r="E52" s="240"/>
      <c r="F52" s="241" t="s">
        <v>1721</v>
      </c>
      <c r="G52" s="242" t="s">
        <v>1722</v>
      </c>
      <c r="H52" s="240"/>
      <c r="I52" s="241">
        <v>7</v>
      </c>
      <c r="J52" s="244" t="str">
        <f>HYPERLINK("https://www.wealthenhancement.com/blog/what-is-a-grat","https://www.wealthenhancement.com/blog/what-is-a-grat")</f>
        <v>https://www.wealthenhancement.com/blog/what-is-a-grat</v>
      </c>
      <c r="K52" s="240"/>
      <c r="L52" s="241" t="s">
        <v>1721</v>
      </c>
      <c r="M52" s="242" t="s">
        <v>1722</v>
      </c>
      <c r="N52" s="240"/>
      <c r="O52" s="241" t="s">
        <v>1721</v>
      </c>
      <c r="P52" s="242" t="s">
        <v>1722</v>
      </c>
      <c r="Q52" s="240"/>
      <c r="R52" s="241">
        <v>17</v>
      </c>
      <c r="S52" s="244" t="str">
        <f>HYPERLINK("https://creativeplanning.com/education/article/grantor-retained-annuity-trusts-a-useful-estate-planning-tool-that-may-have-an-expiring-shelf-life/","https://creativeplanning.com/education/article/grantor-retained-annuity-trusts-a-useful-estate-planning-tool-that-may-have-an-expiring-shelf-life/")</f>
        <v>https://creativeplanning.com/education/article/grantor-retained-annuity-trusts-a-useful-estate-planning-tool-that-may-have-an-expiring-shelf-life/</v>
      </c>
      <c r="T52" s="240"/>
      <c r="U52" s="241" t="s">
        <v>1721</v>
      </c>
      <c r="V52" s="242" t="s">
        <v>1722</v>
      </c>
      <c r="W52" s="240"/>
    </row>
    <row r="53" spans="1:23" ht="14.25" x14ac:dyDescent="0.3">
      <c r="A53" s="239" t="s">
        <v>2546</v>
      </c>
      <c r="B53" s="240">
        <v>4</v>
      </c>
      <c r="C53" s="240">
        <v>10</v>
      </c>
      <c r="D53" s="240">
        <v>12</v>
      </c>
      <c r="E53" s="240"/>
      <c r="F53" s="241">
        <v>92</v>
      </c>
      <c r="G53" s="244" t="str">
        <f>HYPERLINK("https://www.examplebusiness.com/","https://www.examplebusiness.com/")</f>
        <v>https://www.examplebusiness.com/</v>
      </c>
      <c r="H53" s="240"/>
      <c r="I53" s="241" t="s">
        <v>1721</v>
      </c>
      <c r="J53" s="242" t="s">
        <v>1722</v>
      </c>
      <c r="K53" s="240"/>
      <c r="L53" s="241">
        <v>52</v>
      </c>
      <c r="M53" s="244" t="str">
        <f t="shared" ref="M53:M54" si="23">HYPERLINK("https://www.accredited.com/","https://www.accredited.com/")</f>
        <v>https://www.accredited.com/</v>
      </c>
      <c r="N53" s="240"/>
      <c r="O53" s="241">
        <v>19</v>
      </c>
      <c r="P53" s="244" t="str">
        <f t="shared" ref="P53:P56" si="24">HYPERLINK("https://marksgroup.com/","https://marksgroup.com/")</f>
        <v>https://marksgroup.com/</v>
      </c>
      <c r="Q53" s="240"/>
      <c r="R53" s="241" t="s">
        <v>1721</v>
      </c>
      <c r="S53" s="242" t="s">
        <v>1722</v>
      </c>
      <c r="T53" s="240"/>
      <c r="U53" s="241">
        <v>8</v>
      </c>
      <c r="V53" s="244" t="str">
        <f t="shared" ref="V53:V56" si="25">HYPERLINK("https://www.silveroakwealth.com/","https://www.silveroakwealth.com/")</f>
        <v>https://www.silveroakwealth.com/</v>
      </c>
      <c r="W53" s="240"/>
    </row>
    <row r="54" spans="1:23" ht="14.25" x14ac:dyDescent="0.3">
      <c r="A54" s="239" t="s">
        <v>2547</v>
      </c>
      <c r="B54" s="240">
        <v>4</v>
      </c>
      <c r="C54" s="240">
        <v>10</v>
      </c>
      <c r="D54" s="240">
        <v>12</v>
      </c>
      <c r="E54" s="240"/>
      <c r="F54" s="241">
        <v>43</v>
      </c>
      <c r="G54" s="244" t="str">
        <f>HYPERLINK("https://www.examplebusiness.com/","https://www.examplebusiness.com/")</f>
        <v>https://www.examplebusiness.com/</v>
      </c>
      <c r="H54" s="240"/>
      <c r="I54" s="241" t="s">
        <v>1721</v>
      </c>
      <c r="J54" s="242" t="s">
        <v>1722</v>
      </c>
      <c r="K54" s="240"/>
      <c r="L54" s="241">
        <v>71</v>
      </c>
      <c r="M54" s="244" t="str">
        <f t="shared" si="23"/>
        <v>https://www.accredited.com/</v>
      </c>
      <c r="N54" s="240"/>
      <c r="O54" s="241">
        <v>26</v>
      </c>
      <c r="P54" s="244" t="str">
        <f t="shared" si="24"/>
        <v>https://marksgroup.com/</v>
      </c>
      <c r="Q54" s="240"/>
      <c r="R54" s="241" t="s">
        <v>1721</v>
      </c>
      <c r="S54" s="242" t="s">
        <v>1722</v>
      </c>
      <c r="T54" s="240"/>
      <c r="U54" s="241">
        <v>9</v>
      </c>
      <c r="V54" s="244" t="str">
        <f t="shared" si="25"/>
        <v>https://www.silveroakwealth.com/</v>
      </c>
      <c r="W54" s="240"/>
    </row>
    <row r="55" spans="1:23" ht="14.25" x14ac:dyDescent="0.3">
      <c r="A55" s="239" t="s">
        <v>2548</v>
      </c>
      <c r="B55" s="240">
        <v>3</v>
      </c>
      <c r="C55" s="240">
        <v>10</v>
      </c>
      <c r="D55" s="240">
        <v>7</v>
      </c>
      <c r="E55" s="240"/>
      <c r="F55" s="241">
        <v>37</v>
      </c>
      <c r="G55" s="244" t="str">
        <f>HYPERLINK("https://www.examplebusiness.com/","https://www.examplebusiness.com/")</f>
        <v>https://www.examplebusiness.com/</v>
      </c>
      <c r="H55" s="240"/>
      <c r="I55" s="241" t="s">
        <v>1721</v>
      </c>
      <c r="J55" s="242" t="s">
        <v>1722</v>
      </c>
      <c r="K55" s="240"/>
      <c r="L55" s="241" t="s">
        <v>1721</v>
      </c>
      <c r="M55" s="242" t="s">
        <v>1722</v>
      </c>
      <c r="N55" s="240"/>
      <c r="O55" s="241">
        <v>28</v>
      </c>
      <c r="P55" s="244" t="str">
        <f t="shared" si="24"/>
        <v>https://marksgroup.com/</v>
      </c>
      <c r="Q55" s="240"/>
      <c r="R55" s="241" t="s">
        <v>1721</v>
      </c>
      <c r="S55" s="242" t="s">
        <v>1722</v>
      </c>
      <c r="T55" s="240"/>
      <c r="U55" s="241">
        <v>11</v>
      </c>
      <c r="V55" s="244" t="str">
        <f t="shared" si="25"/>
        <v>https://www.silveroakwealth.com/</v>
      </c>
      <c r="W55" s="240"/>
    </row>
    <row r="56" spans="1:23" ht="14.25" x14ac:dyDescent="0.3">
      <c r="A56" s="239" t="s">
        <v>1747</v>
      </c>
      <c r="B56" s="240">
        <v>2</v>
      </c>
      <c r="C56" s="240">
        <v>10</v>
      </c>
      <c r="D56" s="240">
        <v>0</v>
      </c>
      <c r="E56" s="240"/>
      <c r="F56" s="241" t="s">
        <v>1721</v>
      </c>
      <c r="G56" s="242" t="s">
        <v>1722</v>
      </c>
      <c r="H56" s="240"/>
      <c r="I56" s="241" t="s">
        <v>1721</v>
      </c>
      <c r="J56" s="242" t="s">
        <v>1722</v>
      </c>
      <c r="K56" s="240"/>
      <c r="L56" s="241" t="s">
        <v>1721</v>
      </c>
      <c r="M56" s="242" t="s">
        <v>1722</v>
      </c>
      <c r="N56" s="240"/>
      <c r="O56" s="241">
        <v>56</v>
      </c>
      <c r="P56" s="244" t="str">
        <f t="shared" si="24"/>
        <v>https://marksgroup.com/</v>
      </c>
      <c r="Q56" s="240"/>
      <c r="R56" s="241" t="s">
        <v>1721</v>
      </c>
      <c r="S56" s="242" t="s">
        <v>1722</v>
      </c>
      <c r="T56" s="240"/>
      <c r="U56" s="241">
        <v>85</v>
      </c>
      <c r="V56" s="244" t="str">
        <f t="shared" si="25"/>
        <v>https://www.silveroakwealth.com/</v>
      </c>
      <c r="W56" s="240"/>
    </row>
    <row r="57" spans="1:23" ht="14.25" x14ac:dyDescent="0.3">
      <c r="A57" s="239" t="s">
        <v>1748</v>
      </c>
      <c r="B57" s="240">
        <v>2</v>
      </c>
      <c r="C57" s="240">
        <v>10</v>
      </c>
      <c r="D57" s="240">
        <v>21</v>
      </c>
      <c r="E57" s="240"/>
      <c r="F57" s="241" t="s">
        <v>1721</v>
      </c>
      <c r="G57" s="242" t="s">
        <v>1722</v>
      </c>
      <c r="H57" s="240"/>
      <c r="I57" s="241" t="s">
        <v>1721</v>
      </c>
      <c r="J57" s="242" t="s">
        <v>1722</v>
      </c>
      <c r="K57" s="240"/>
      <c r="L57" s="241" t="s">
        <v>1721</v>
      </c>
      <c r="M57" s="242" t="s">
        <v>1722</v>
      </c>
      <c r="N57" s="240"/>
      <c r="O57" s="241" t="s">
        <v>1721</v>
      </c>
      <c r="P57" s="242" t="s">
        <v>1722</v>
      </c>
      <c r="Q57" s="240"/>
      <c r="R57" s="241">
        <v>34</v>
      </c>
      <c r="S57" s="244" t="str">
        <f>HYPERLINK("https://creativeplanning.com/services/private-wealth-management/","https://creativeplanning.com/services/private-wealth-management/")</f>
        <v>https://creativeplanning.com/services/private-wealth-management/</v>
      </c>
      <c r="T57" s="240"/>
      <c r="U57" s="241">
        <v>15</v>
      </c>
      <c r="V57" s="244" t="str">
        <f>HYPERLINK("https://www.silveroakwealth.com/awards-recognition","https://www.silveroakwealth.com/awards-recognition")</f>
        <v>https://www.silveroakwealth.com/awards-recognition</v>
      </c>
      <c r="W57" s="240"/>
    </row>
    <row r="58" spans="1:23" ht="14.25" x14ac:dyDescent="0.3">
      <c r="A58" s="239" t="s">
        <v>443</v>
      </c>
      <c r="B58" s="240">
        <v>2</v>
      </c>
      <c r="C58" s="240">
        <v>10</v>
      </c>
      <c r="D58" s="240">
        <v>42</v>
      </c>
      <c r="E58" s="240"/>
      <c r="F58" s="241" t="s">
        <v>1721</v>
      </c>
      <c r="G58" s="242" t="s">
        <v>1722</v>
      </c>
      <c r="H58" s="240"/>
      <c r="I58" s="241" t="s">
        <v>1721</v>
      </c>
      <c r="J58" s="242" t="s">
        <v>1722</v>
      </c>
      <c r="K58" s="240"/>
      <c r="L58" s="241" t="s">
        <v>1721</v>
      </c>
      <c r="M58" s="242" t="s">
        <v>1722</v>
      </c>
      <c r="N58" s="240"/>
      <c r="O58" s="241" t="s">
        <v>1721</v>
      </c>
      <c r="P58" s="242" t="s">
        <v>1722</v>
      </c>
      <c r="Q58" s="240"/>
      <c r="R58" s="241">
        <v>30</v>
      </c>
      <c r="S58" s="244" t="str">
        <f>HYPERLINK("https://creativeplanning.com/","https://creativeplanning.com/")</f>
        <v>https://creativeplanning.com/</v>
      </c>
      <c r="T58" s="240"/>
      <c r="U58" s="241">
        <v>37</v>
      </c>
      <c r="V58" s="244" t="str">
        <f>HYPERLINK("https://www.silveroakwealth.com/","https://www.silveroakwealth.com/")</f>
        <v>https://www.silveroakwealth.com/</v>
      </c>
      <c r="W58" s="240"/>
    </row>
    <row r="59" spans="1:23" ht="14.25" x14ac:dyDescent="0.3">
      <c r="A59" s="239" t="s">
        <v>1749</v>
      </c>
      <c r="B59" s="240">
        <v>2</v>
      </c>
      <c r="C59" s="240">
        <v>10</v>
      </c>
      <c r="D59" s="240">
        <v>12</v>
      </c>
      <c r="E59" s="240"/>
      <c r="F59" s="241" t="s">
        <v>1721</v>
      </c>
      <c r="G59" s="242" t="s">
        <v>1722</v>
      </c>
      <c r="H59" s="240"/>
      <c r="I59" s="241">
        <v>4</v>
      </c>
      <c r="J59" s="244" t="str">
        <f t="shared" ref="J59:J60" si="26">HYPERLINK("https://www.wealthenhancement.com/blog/what-is-a-grat","https://www.wealthenhancement.com/blog/what-is-a-grat")</f>
        <v>https://www.wealthenhancement.com/blog/what-is-a-grat</v>
      </c>
      <c r="K59" s="240"/>
      <c r="L59" s="241" t="s">
        <v>1721</v>
      </c>
      <c r="M59" s="242" t="s">
        <v>1722</v>
      </c>
      <c r="N59" s="240"/>
      <c r="O59" s="241" t="s">
        <v>1721</v>
      </c>
      <c r="P59" s="242" t="s">
        <v>1722</v>
      </c>
      <c r="Q59" s="240"/>
      <c r="R59" s="241">
        <v>30</v>
      </c>
      <c r="S59" s="244" t="str">
        <f t="shared" ref="S59:S60" si="27">HYPERLINK("https://creativeplanning.com/education/article/grantor-retained-annuity-trusts-a-useful-estate-planning-tool-that-may-have-an-expiring-shelf-life/","https://creativeplanning.com/education/article/grantor-retained-annuity-trusts-a-useful-estate-planning-tool-that-may-have-an-expiring-shelf-life/")</f>
        <v>https://creativeplanning.com/education/article/grantor-retained-annuity-trusts-a-useful-estate-planning-tool-that-may-have-an-expiring-shelf-life/</v>
      </c>
      <c r="T59" s="240"/>
      <c r="U59" s="241" t="s">
        <v>1721</v>
      </c>
      <c r="V59" s="242" t="s">
        <v>1722</v>
      </c>
      <c r="W59" s="240"/>
    </row>
    <row r="60" spans="1:23" ht="14.25" x14ac:dyDescent="0.3">
      <c r="A60" s="239" t="s">
        <v>1750</v>
      </c>
      <c r="B60" s="240">
        <v>2</v>
      </c>
      <c r="C60" s="240">
        <v>10</v>
      </c>
      <c r="D60" s="240">
        <v>10</v>
      </c>
      <c r="E60" s="240"/>
      <c r="F60" s="241" t="s">
        <v>1721</v>
      </c>
      <c r="G60" s="242" t="s">
        <v>1722</v>
      </c>
      <c r="H60" s="240"/>
      <c r="I60" s="241">
        <v>5</v>
      </c>
      <c r="J60" s="244" t="str">
        <f t="shared" si="26"/>
        <v>https://www.wealthenhancement.com/blog/what-is-a-grat</v>
      </c>
      <c r="K60" s="240"/>
      <c r="L60" s="241" t="s">
        <v>1721</v>
      </c>
      <c r="M60" s="242" t="s">
        <v>1722</v>
      </c>
      <c r="N60" s="240"/>
      <c r="O60" s="241" t="s">
        <v>1721</v>
      </c>
      <c r="P60" s="242" t="s">
        <v>1722</v>
      </c>
      <c r="Q60" s="240"/>
      <c r="R60" s="241">
        <v>38</v>
      </c>
      <c r="S60" s="244" t="str">
        <f t="shared" si="27"/>
        <v>https://creativeplanning.com/education/article/grantor-retained-annuity-trusts-a-useful-estate-planning-tool-that-may-have-an-expiring-shelf-life/</v>
      </c>
      <c r="T60" s="240"/>
      <c r="U60" s="241" t="s">
        <v>1721</v>
      </c>
      <c r="V60" s="242" t="s">
        <v>1722</v>
      </c>
      <c r="W60" s="240"/>
    </row>
  </sheetData>
  <mergeCells count="6">
    <mergeCell ref="U2:V2"/>
    <mergeCell ref="F2:G2"/>
    <mergeCell ref="I2:J2"/>
    <mergeCell ref="L2:M2"/>
    <mergeCell ref="O2:P2"/>
    <mergeCell ref="R2:S2"/>
  </mergeCells>
  <conditionalFormatting sqref="B1:B60">
    <cfRule type="colorScale" priority="4">
      <colorScale>
        <cfvo type="min"/>
        <cfvo type="max"/>
        <color rgb="FFFFFFFF"/>
        <color rgb="FF57BB8A"/>
      </colorScale>
    </cfRule>
  </conditionalFormatting>
  <conditionalFormatting sqref="C1:C60">
    <cfRule type="colorScale" priority="5">
      <colorScale>
        <cfvo type="min"/>
        <cfvo type="max"/>
        <color rgb="FFFFFFFF"/>
        <color rgb="FF57BB8A"/>
      </colorScale>
    </cfRule>
  </conditionalFormatting>
  <conditionalFormatting sqref="D1:D60">
    <cfRule type="colorScale" priority="6">
      <colorScale>
        <cfvo type="min"/>
        <cfvo type="max"/>
        <color rgb="FF57BB8A"/>
        <color rgb="FFFFFFFF"/>
      </colorScale>
    </cfRule>
  </conditionalFormatting>
  <conditionalFormatting sqref="E1:W60">
    <cfRule type="colorScale" priority="1">
      <colorScale>
        <cfvo type="min"/>
        <cfvo type="percentile" val="50"/>
        <cfvo type="max"/>
        <color rgb="FF57BB8A"/>
        <color rgb="FFFFD666"/>
        <color rgb="FFE67C73"/>
      </colorScale>
    </cfRule>
    <cfRule type="cellIs" dxfId="15" priority="2" operator="equal">
      <formula>"Not Ranked"</formula>
    </cfRule>
    <cfRule type="cellIs" dxfId="14" priority="3" operator="equal">
      <formula>"no ranking url"</formula>
    </cfRule>
  </conditionalFormatting>
  <hyperlinks>
    <hyperlink ref="F2" r:id="rId1" display="ABCfinancial.net" xr:uid="{00000000-0004-0000-0A00-000000000000}"/>
    <hyperlink ref="I2" r:id="rId2" xr:uid="{00000000-0004-0000-0A00-000001000000}"/>
    <hyperlink ref="L2" r:id="rId3" xr:uid="{00000000-0004-0000-0A00-000002000000}"/>
    <hyperlink ref="O2" r:id="rId4" xr:uid="{00000000-0004-0000-0A00-000003000000}"/>
    <hyperlink ref="R2" r:id="rId5" xr:uid="{00000000-0004-0000-0A00-000004000000}"/>
    <hyperlink ref="U2" r:id="rId6" xr:uid="{00000000-0004-0000-0A00-000005000000}"/>
  </hyperlinks>
  <pageMargins left="0.7" right="0.7" top="0.75" bottom="0.75" header="0.3" footer="0.3"/>
  <tableParts count="1">
    <tablePart r:id="rId7"/>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I225"/>
  <sheetViews>
    <sheetView workbookViewId="0">
      <pane ySplit="2" topLeftCell="A3" activePane="bottomLeft" state="frozen"/>
      <selection pane="bottomLeft" activeCell="B4" sqref="B4"/>
    </sheetView>
  </sheetViews>
  <sheetFormatPr defaultColWidth="12.5703125" defaultRowHeight="15.75" customHeight="1" x14ac:dyDescent="0.2"/>
  <cols>
    <col min="1" max="1" width="30.5703125" customWidth="1"/>
    <col min="3" max="3" width="14" customWidth="1"/>
    <col min="4" max="9" width="25.140625" customWidth="1"/>
  </cols>
  <sheetData>
    <row r="1" spans="1:9" ht="34.5" customHeight="1" x14ac:dyDescent="0.35">
      <c r="A1" s="245" t="s">
        <v>1751</v>
      </c>
      <c r="B1" s="231" t="s">
        <v>1712</v>
      </c>
      <c r="C1" s="246" t="s">
        <v>1752</v>
      </c>
      <c r="D1" s="247" t="s">
        <v>1753</v>
      </c>
      <c r="E1" s="247" t="s">
        <v>1754</v>
      </c>
      <c r="F1" s="247" t="s">
        <v>1755</v>
      </c>
      <c r="G1" s="247" t="s">
        <v>1756</v>
      </c>
      <c r="H1" s="247" t="s">
        <v>1757</v>
      </c>
      <c r="I1" s="247" t="s">
        <v>1758</v>
      </c>
    </row>
    <row r="2" spans="1:9" ht="16.5" x14ac:dyDescent="0.35">
      <c r="A2" s="248"/>
      <c r="B2" s="248"/>
      <c r="C2" s="248"/>
      <c r="D2" s="249" t="s">
        <v>2569</v>
      </c>
      <c r="E2" s="250" t="s">
        <v>1715</v>
      </c>
      <c r="F2" s="250" t="s">
        <v>1716</v>
      </c>
      <c r="G2" s="250" t="s">
        <v>1717</v>
      </c>
      <c r="H2" s="250" t="s">
        <v>1718</v>
      </c>
      <c r="I2" s="250" t="s">
        <v>1624</v>
      </c>
    </row>
    <row r="3" spans="1:9" ht="16.5" x14ac:dyDescent="0.35">
      <c r="A3" s="251" t="s">
        <v>1759</v>
      </c>
      <c r="B3" s="120">
        <v>6</v>
      </c>
      <c r="C3" s="120">
        <v>27</v>
      </c>
      <c r="D3" s="120" t="s">
        <v>1642</v>
      </c>
      <c r="E3" s="120" t="s">
        <v>1642</v>
      </c>
      <c r="F3" s="120" t="s">
        <v>1642</v>
      </c>
      <c r="G3" s="120" t="s">
        <v>1642</v>
      </c>
      <c r="H3" s="120" t="s">
        <v>1642</v>
      </c>
      <c r="I3" s="120" t="s">
        <v>1642</v>
      </c>
    </row>
    <row r="4" spans="1:9" ht="16.5" x14ac:dyDescent="0.35">
      <c r="A4" s="251" t="s">
        <v>1760</v>
      </c>
      <c r="B4" s="120">
        <v>6</v>
      </c>
      <c r="C4" s="120">
        <v>26</v>
      </c>
      <c r="D4" s="120" t="s">
        <v>1642</v>
      </c>
      <c r="E4" s="120" t="s">
        <v>1642</v>
      </c>
      <c r="F4" s="120" t="s">
        <v>1642</v>
      </c>
      <c r="G4" s="120" t="s">
        <v>1642</v>
      </c>
      <c r="H4" s="120" t="s">
        <v>1642</v>
      </c>
      <c r="I4" s="120" t="s">
        <v>1642</v>
      </c>
    </row>
    <row r="5" spans="1:9" ht="16.5" x14ac:dyDescent="0.35">
      <c r="A5" s="251" t="s">
        <v>1761</v>
      </c>
      <c r="B5" s="120">
        <v>6</v>
      </c>
      <c r="C5" s="120">
        <v>2</v>
      </c>
      <c r="D5" s="120" t="s">
        <v>1642</v>
      </c>
      <c r="E5" s="120" t="s">
        <v>1642</v>
      </c>
      <c r="F5" s="120" t="s">
        <v>1642</v>
      </c>
      <c r="G5" s="120" t="s">
        <v>1642</v>
      </c>
      <c r="H5" s="120" t="s">
        <v>1642</v>
      </c>
      <c r="I5" s="120" t="s">
        <v>1642</v>
      </c>
    </row>
    <row r="6" spans="1:9" ht="16.5" x14ac:dyDescent="0.35">
      <c r="A6" s="251" t="s">
        <v>1762</v>
      </c>
      <c r="B6" s="120">
        <v>6</v>
      </c>
      <c r="C6" s="120">
        <v>9</v>
      </c>
      <c r="D6" s="120" t="s">
        <v>1642</v>
      </c>
      <c r="E6" s="120" t="s">
        <v>1642</v>
      </c>
      <c r="F6" s="120" t="s">
        <v>1642</v>
      </c>
      <c r="G6" s="120" t="s">
        <v>1642</v>
      </c>
      <c r="H6" s="120" t="s">
        <v>1642</v>
      </c>
      <c r="I6" s="120" t="s">
        <v>1642</v>
      </c>
    </row>
    <row r="7" spans="1:9" ht="16.5" x14ac:dyDescent="0.35">
      <c r="A7" s="251" t="s">
        <v>1763</v>
      </c>
      <c r="B7" s="120">
        <v>6</v>
      </c>
      <c r="C7" s="120">
        <v>23</v>
      </c>
      <c r="D7" s="120" t="s">
        <v>1642</v>
      </c>
      <c r="E7" s="120" t="s">
        <v>1642</v>
      </c>
      <c r="F7" s="120" t="s">
        <v>1642</v>
      </c>
      <c r="G7" s="120" t="s">
        <v>1642</v>
      </c>
      <c r="H7" s="120" t="s">
        <v>1642</v>
      </c>
      <c r="I7" s="120" t="s">
        <v>1642</v>
      </c>
    </row>
    <row r="8" spans="1:9" ht="16.5" x14ac:dyDescent="0.35">
      <c r="A8" s="251" t="s">
        <v>1764</v>
      </c>
      <c r="B8" s="120">
        <v>6</v>
      </c>
      <c r="C8" s="120">
        <v>60</v>
      </c>
      <c r="D8" s="120" t="s">
        <v>1642</v>
      </c>
      <c r="E8" s="120" t="s">
        <v>1642</v>
      </c>
      <c r="F8" s="120" t="s">
        <v>1642</v>
      </c>
      <c r="G8" s="120" t="s">
        <v>1642</v>
      </c>
      <c r="H8" s="120" t="s">
        <v>1642</v>
      </c>
      <c r="I8" s="120" t="s">
        <v>1642</v>
      </c>
    </row>
    <row r="9" spans="1:9" ht="16.5" x14ac:dyDescent="0.35">
      <c r="A9" s="251" t="s">
        <v>1765</v>
      </c>
      <c r="B9" s="120">
        <v>6</v>
      </c>
      <c r="C9" s="120">
        <v>30</v>
      </c>
      <c r="D9" s="120" t="s">
        <v>1642</v>
      </c>
      <c r="E9" s="120" t="s">
        <v>1642</v>
      </c>
      <c r="F9" s="120" t="s">
        <v>1642</v>
      </c>
      <c r="G9" s="120" t="s">
        <v>1642</v>
      </c>
      <c r="H9" s="120" t="s">
        <v>1642</v>
      </c>
      <c r="I9" s="120" t="s">
        <v>1642</v>
      </c>
    </row>
    <row r="10" spans="1:9" ht="16.5" x14ac:dyDescent="0.35">
      <c r="A10" s="251" t="s">
        <v>1766</v>
      </c>
      <c r="B10" s="120">
        <v>6</v>
      </c>
      <c r="C10" s="120">
        <v>90</v>
      </c>
      <c r="D10" s="120" t="s">
        <v>1642</v>
      </c>
      <c r="E10" s="120" t="s">
        <v>1642</v>
      </c>
      <c r="F10" s="120" t="s">
        <v>1642</v>
      </c>
      <c r="G10" s="120" t="s">
        <v>1642</v>
      </c>
      <c r="H10" s="120" t="s">
        <v>1642</v>
      </c>
      <c r="I10" s="120" t="s">
        <v>1642</v>
      </c>
    </row>
    <row r="11" spans="1:9" ht="16.5" x14ac:dyDescent="0.35">
      <c r="A11" s="251" t="s">
        <v>1767</v>
      </c>
      <c r="B11" s="120">
        <v>5</v>
      </c>
      <c r="C11" s="120">
        <v>68</v>
      </c>
      <c r="D11" s="120" t="s">
        <v>1642</v>
      </c>
      <c r="E11" s="120" t="s">
        <v>1642</v>
      </c>
      <c r="F11" s="120" t="s">
        <v>1642</v>
      </c>
      <c r="G11" s="120" t="s">
        <v>1642</v>
      </c>
      <c r="H11" s="120" t="s">
        <v>1642</v>
      </c>
      <c r="I11" s="120" t="s">
        <v>1643</v>
      </c>
    </row>
    <row r="12" spans="1:9" ht="16.5" x14ac:dyDescent="0.35">
      <c r="A12" s="251" t="s">
        <v>1768</v>
      </c>
      <c r="B12" s="120">
        <v>5</v>
      </c>
      <c r="C12" s="120">
        <v>35</v>
      </c>
      <c r="D12" s="120" t="s">
        <v>1642</v>
      </c>
      <c r="E12" s="120" t="s">
        <v>1642</v>
      </c>
      <c r="F12" s="120" t="s">
        <v>1642</v>
      </c>
      <c r="G12" s="120" t="s">
        <v>1642</v>
      </c>
      <c r="H12" s="120" t="s">
        <v>1642</v>
      </c>
      <c r="I12" s="120" t="s">
        <v>1643</v>
      </c>
    </row>
    <row r="13" spans="1:9" ht="16.5" x14ac:dyDescent="0.35">
      <c r="A13" s="251" t="s">
        <v>1769</v>
      </c>
      <c r="B13" s="120">
        <v>5</v>
      </c>
      <c r="C13" s="120">
        <v>22</v>
      </c>
      <c r="D13" s="120" t="s">
        <v>1642</v>
      </c>
      <c r="E13" s="120" t="s">
        <v>1642</v>
      </c>
      <c r="F13" s="120" t="s">
        <v>1642</v>
      </c>
      <c r="G13" s="120" t="s">
        <v>1642</v>
      </c>
      <c r="H13" s="120" t="s">
        <v>1643</v>
      </c>
      <c r="I13" s="120" t="s">
        <v>1642</v>
      </c>
    </row>
    <row r="14" spans="1:9" ht="16.5" x14ac:dyDescent="0.35">
      <c r="A14" s="251" t="s">
        <v>1770</v>
      </c>
      <c r="B14" s="120">
        <v>5</v>
      </c>
      <c r="C14" s="120">
        <v>25</v>
      </c>
      <c r="D14" s="120" t="s">
        <v>1642</v>
      </c>
      <c r="E14" s="120" t="s">
        <v>1642</v>
      </c>
      <c r="F14" s="120" t="s">
        <v>1642</v>
      </c>
      <c r="G14" s="120" t="s">
        <v>1642</v>
      </c>
      <c r="H14" s="120" t="s">
        <v>1642</v>
      </c>
      <c r="I14" s="120" t="s">
        <v>1643</v>
      </c>
    </row>
    <row r="15" spans="1:9" ht="16.5" x14ac:dyDescent="0.35">
      <c r="A15" s="251" t="s">
        <v>1771</v>
      </c>
      <c r="B15" s="120">
        <v>5</v>
      </c>
      <c r="C15" s="120">
        <v>19</v>
      </c>
      <c r="D15" s="120" t="s">
        <v>1642</v>
      </c>
      <c r="E15" s="120" t="s">
        <v>1642</v>
      </c>
      <c r="F15" s="120" t="s">
        <v>1642</v>
      </c>
      <c r="G15" s="120" t="s">
        <v>1642</v>
      </c>
      <c r="H15" s="120" t="s">
        <v>1642</v>
      </c>
      <c r="I15" s="120" t="s">
        <v>1643</v>
      </c>
    </row>
    <row r="16" spans="1:9" ht="16.5" x14ac:dyDescent="0.35">
      <c r="A16" s="251" t="s">
        <v>1772</v>
      </c>
      <c r="B16" s="120">
        <v>5</v>
      </c>
      <c r="C16" s="120">
        <v>37</v>
      </c>
      <c r="D16" s="120" t="s">
        <v>1642</v>
      </c>
      <c r="E16" s="120" t="s">
        <v>1642</v>
      </c>
      <c r="F16" s="120" t="s">
        <v>1642</v>
      </c>
      <c r="G16" s="120" t="s">
        <v>1642</v>
      </c>
      <c r="H16" s="120" t="s">
        <v>1642</v>
      </c>
      <c r="I16" s="120" t="s">
        <v>1643</v>
      </c>
    </row>
    <row r="17" spans="1:9" ht="16.5" x14ac:dyDescent="0.35">
      <c r="A17" s="251" t="s">
        <v>1773</v>
      </c>
      <c r="B17" s="120">
        <v>5</v>
      </c>
      <c r="C17" s="120">
        <v>2</v>
      </c>
      <c r="D17" s="120" t="s">
        <v>1642</v>
      </c>
      <c r="E17" s="120" t="s">
        <v>1642</v>
      </c>
      <c r="F17" s="120" t="s">
        <v>1642</v>
      </c>
      <c r="G17" s="120" t="s">
        <v>1642</v>
      </c>
      <c r="H17" s="120" t="s">
        <v>1642</v>
      </c>
      <c r="I17" s="120" t="s">
        <v>1643</v>
      </c>
    </row>
    <row r="18" spans="1:9" ht="16.5" x14ac:dyDescent="0.35">
      <c r="A18" s="251" t="s">
        <v>1774</v>
      </c>
      <c r="B18" s="120">
        <v>5</v>
      </c>
      <c r="C18" s="120">
        <v>39</v>
      </c>
      <c r="D18" s="120" t="s">
        <v>1642</v>
      </c>
      <c r="E18" s="120" t="s">
        <v>1642</v>
      </c>
      <c r="F18" s="120" t="s">
        <v>1642</v>
      </c>
      <c r="G18" s="120" t="s">
        <v>1642</v>
      </c>
      <c r="H18" s="120" t="s">
        <v>1643</v>
      </c>
      <c r="I18" s="120" t="s">
        <v>1642</v>
      </c>
    </row>
    <row r="19" spans="1:9" ht="16.5" x14ac:dyDescent="0.35">
      <c r="A19" s="251" t="s">
        <v>1775</v>
      </c>
      <c r="B19" s="120">
        <v>5</v>
      </c>
      <c r="C19" s="120">
        <v>6</v>
      </c>
      <c r="D19" s="120" t="s">
        <v>1642</v>
      </c>
      <c r="E19" s="120" t="s">
        <v>1642</v>
      </c>
      <c r="F19" s="120" t="s">
        <v>1642</v>
      </c>
      <c r="G19" s="120" t="s">
        <v>1642</v>
      </c>
      <c r="H19" s="120" t="s">
        <v>1642</v>
      </c>
      <c r="I19" s="120" t="s">
        <v>1643</v>
      </c>
    </row>
    <row r="20" spans="1:9" ht="16.5" x14ac:dyDescent="0.35">
      <c r="A20" s="251" t="s">
        <v>1776</v>
      </c>
      <c r="B20" s="120">
        <v>5</v>
      </c>
      <c r="C20" s="120">
        <v>47</v>
      </c>
      <c r="D20" s="120" t="s">
        <v>1642</v>
      </c>
      <c r="E20" s="120" t="s">
        <v>1642</v>
      </c>
      <c r="F20" s="120" t="s">
        <v>1642</v>
      </c>
      <c r="G20" s="120" t="s">
        <v>1642</v>
      </c>
      <c r="H20" s="120" t="s">
        <v>1642</v>
      </c>
      <c r="I20" s="120" t="s">
        <v>1643</v>
      </c>
    </row>
    <row r="21" spans="1:9" ht="16.5" x14ac:dyDescent="0.35">
      <c r="A21" s="251" t="s">
        <v>1777</v>
      </c>
      <c r="B21" s="120">
        <v>5</v>
      </c>
      <c r="C21" s="120">
        <v>52</v>
      </c>
      <c r="D21" s="120" t="s">
        <v>1642</v>
      </c>
      <c r="E21" s="120" t="s">
        <v>1642</v>
      </c>
      <c r="F21" s="120" t="s">
        <v>1643</v>
      </c>
      <c r="G21" s="120" t="s">
        <v>1642</v>
      </c>
      <c r="H21" s="120" t="s">
        <v>1642</v>
      </c>
      <c r="I21" s="120" t="s">
        <v>1642</v>
      </c>
    </row>
    <row r="22" spans="1:9" ht="16.5" x14ac:dyDescent="0.35">
      <c r="A22" s="251" t="s">
        <v>1778</v>
      </c>
      <c r="B22" s="120">
        <v>5</v>
      </c>
      <c r="C22" s="120">
        <v>30</v>
      </c>
      <c r="D22" s="120" t="s">
        <v>1642</v>
      </c>
      <c r="E22" s="120" t="s">
        <v>1642</v>
      </c>
      <c r="F22" s="120" t="s">
        <v>1642</v>
      </c>
      <c r="G22" s="120" t="s">
        <v>1642</v>
      </c>
      <c r="H22" s="120" t="s">
        <v>1642</v>
      </c>
      <c r="I22" s="120" t="s">
        <v>1643</v>
      </c>
    </row>
    <row r="23" spans="1:9" ht="16.5" x14ac:dyDescent="0.35">
      <c r="A23" s="251" t="s">
        <v>1779</v>
      </c>
      <c r="B23" s="120">
        <v>5</v>
      </c>
      <c r="C23" s="120">
        <v>30</v>
      </c>
      <c r="D23" s="120" t="s">
        <v>1642</v>
      </c>
      <c r="E23" s="120" t="s">
        <v>1642</v>
      </c>
      <c r="F23" s="120" t="s">
        <v>1642</v>
      </c>
      <c r="G23" s="120" t="s">
        <v>1642</v>
      </c>
      <c r="H23" s="120" t="s">
        <v>1643</v>
      </c>
      <c r="I23" s="120" t="s">
        <v>1642</v>
      </c>
    </row>
    <row r="24" spans="1:9" ht="16.5" x14ac:dyDescent="0.35">
      <c r="A24" s="251" t="s">
        <v>1780</v>
      </c>
      <c r="B24" s="120">
        <v>5</v>
      </c>
      <c r="C24" s="120">
        <v>25</v>
      </c>
      <c r="D24" s="120" t="s">
        <v>1642</v>
      </c>
      <c r="E24" s="120" t="s">
        <v>1642</v>
      </c>
      <c r="F24" s="120" t="s">
        <v>1642</v>
      </c>
      <c r="G24" s="120" t="s">
        <v>1642</v>
      </c>
      <c r="H24" s="120" t="s">
        <v>1642</v>
      </c>
      <c r="I24" s="120" t="s">
        <v>1643</v>
      </c>
    </row>
    <row r="25" spans="1:9" ht="16.5" x14ac:dyDescent="0.35">
      <c r="A25" s="251" t="s">
        <v>1781</v>
      </c>
      <c r="B25" s="120">
        <v>5</v>
      </c>
      <c r="C25" s="120">
        <v>30</v>
      </c>
      <c r="D25" s="120" t="s">
        <v>1642</v>
      </c>
      <c r="E25" s="120" t="s">
        <v>1642</v>
      </c>
      <c r="F25" s="120" t="s">
        <v>1642</v>
      </c>
      <c r="G25" s="120" t="s">
        <v>1642</v>
      </c>
      <c r="H25" s="120" t="s">
        <v>1642</v>
      </c>
      <c r="I25" s="120" t="s">
        <v>1643</v>
      </c>
    </row>
    <row r="26" spans="1:9" ht="16.5" x14ac:dyDescent="0.35">
      <c r="A26" s="251" t="s">
        <v>1782</v>
      </c>
      <c r="B26" s="120">
        <v>5</v>
      </c>
      <c r="C26" s="120">
        <v>25</v>
      </c>
      <c r="D26" s="120" t="s">
        <v>1642</v>
      </c>
      <c r="E26" s="120" t="s">
        <v>1642</v>
      </c>
      <c r="F26" s="120" t="s">
        <v>1642</v>
      </c>
      <c r="G26" s="120" t="s">
        <v>1642</v>
      </c>
      <c r="H26" s="120" t="s">
        <v>1642</v>
      </c>
      <c r="I26" s="120" t="s">
        <v>1643</v>
      </c>
    </row>
    <row r="27" spans="1:9" ht="16.5" x14ac:dyDescent="0.35">
      <c r="A27" s="251" t="s">
        <v>1783</v>
      </c>
      <c r="B27" s="120">
        <v>5</v>
      </c>
      <c r="C27" s="120">
        <v>28</v>
      </c>
      <c r="D27" s="120" t="s">
        <v>1642</v>
      </c>
      <c r="E27" s="120" t="s">
        <v>1642</v>
      </c>
      <c r="F27" s="120" t="s">
        <v>1642</v>
      </c>
      <c r="G27" s="120" t="s">
        <v>1642</v>
      </c>
      <c r="H27" s="120" t="s">
        <v>1642</v>
      </c>
      <c r="I27" s="120" t="s">
        <v>1643</v>
      </c>
    </row>
    <row r="28" spans="1:9" ht="16.5" x14ac:dyDescent="0.35">
      <c r="A28" s="251" t="s">
        <v>1784</v>
      </c>
      <c r="B28" s="120">
        <v>5</v>
      </c>
      <c r="C28" s="120">
        <v>80</v>
      </c>
      <c r="D28" s="120" t="s">
        <v>1643</v>
      </c>
      <c r="E28" s="120" t="s">
        <v>1642</v>
      </c>
      <c r="F28" s="120" t="s">
        <v>1642</v>
      </c>
      <c r="G28" s="120" t="s">
        <v>1642</v>
      </c>
      <c r="H28" s="120" t="s">
        <v>1642</v>
      </c>
      <c r="I28" s="120" t="s">
        <v>1642</v>
      </c>
    </row>
    <row r="29" spans="1:9" ht="16.5" x14ac:dyDescent="0.35">
      <c r="A29" s="251" t="s">
        <v>1785</v>
      </c>
      <c r="B29" s="120">
        <v>5</v>
      </c>
      <c r="C29" s="120">
        <v>84</v>
      </c>
      <c r="D29" s="120" t="s">
        <v>1642</v>
      </c>
      <c r="E29" s="120" t="s">
        <v>1642</v>
      </c>
      <c r="F29" s="120" t="s">
        <v>1642</v>
      </c>
      <c r="G29" s="120" t="s">
        <v>1642</v>
      </c>
      <c r="H29" s="120" t="s">
        <v>1642</v>
      </c>
      <c r="I29" s="120" t="s">
        <v>1643</v>
      </c>
    </row>
    <row r="30" spans="1:9" ht="16.5" x14ac:dyDescent="0.35">
      <c r="A30" s="251" t="s">
        <v>1786</v>
      </c>
      <c r="B30" s="120">
        <v>5</v>
      </c>
      <c r="C30" s="120">
        <v>25</v>
      </c>
      <c r="D30" s="120" t="s">
        <v>1642</v>
      </c>
      <c r="E30" s="120" t="s">
        <v>1642</v>
      </c>
      <c r="F30" s="120" t="s">
        <v>1642</v>
      </c>
      <c r="G30" s="120" t="s">
        <v>1642</v>
      </c>
      <c r="H30" s="120" t="s">
        <v>1642</v>
      </c>
      <c r="I30" s="120" t="s">
        <v>1643</v>
      </c>
    </row>
    <row r="31" spans="1:9" ht="16.5" x14ac:dyDescent="0.35">
      <c r="A31" s="251" t="s">
        <v>1787</v>
      </c>
      <c r="B31" s="120">
        <v>4</v>
      </c>
      <c r="C31" s="120">
        <v>15</v>
      </c>
      <c r="D31" s="120" t="s">
        <v>1642</v>
      </c>
      <c r="E31" s="120" t="s">
        <v>1642</v>
      </c>
      <c r="F31" s="120" t="s">
        <v>1642</v>
      </c>
      <c r="G31" s="120" t="s">
        <v>1643</v>
      </c>
      <c r="H31" s="120" t="s">
        <v>1642</v>
      </c>
      <c r="I31" s="120" t="s">
        <v>1643</v>
      </c>
    </row>
    <row r="32" spans="1:9" ht="16.5" x14ac:dyDescent="0.35">
      <c r="A32" s="251" t="s">
        <v>1788</v>
      </c>
      <c r="B32" s="120">
        <v>4</v>
      </c>
      <c r="C32" s="120">
        <v>13</v>
      </c>
      <c r="D32" s="120" t="s">
        <v>1642</v>
      </c>
      <c r="E32" s="120" t="s">
        <v>1642</v>
      </c>
      <c r="F32" s="120" t="s">
        <v>1643</v>
      </c>
      <c r="G32" s="120" t="s">
        <v>1643</v>
      </c>
      <c r="H32" s="120" t="s">
        <v>1642</v>
      </c>
      <c r="I32" s="120" t="s">
        <v>1642</v>
      </c>
    </row>
    <row r="33" spans="1:9" ht="16.5" x14ac:dyDescent="0.35">
      <c r="A33" s="251" t="s">
        <v>1789</v>
      </c>
      <c r="B33" s="120">
        <v>4</v>
      </c>
      <c r="C33" s="120">
        <v>30</v>
      </c>
      <c r="D33" s="120" t="s">
        <v>1642</v>
      </c>
      <c r="E33" s="120" t="s">
        <v>1643</v>
      </c>
      <c r="F33" s="120" t="s">
        <v>1642</v>
      </c>
      <c r="G33" s="120" t="s">
        <v>1642</v>
      </c>
      <c r="H33" s="120" t="s">
        <v>1642</v>
      </c>
      <c r="I33" s="120" t="s">
        <v>1643</v>
      </c>
    </row>
    <row r="34" spans="1:9" ht="16.5" x14ac:dyDescent="0.35">
      <c r="A34" s="251" t="s">
        <v>1790</v>
      </c>
      <c r="B34" s="120">
        <v>4</v>
      </c>
      <c r="C34" s="120">
        <v>44</v>
      </c>
      <c r="D34" s="120" t="s">
        <v>1643</v>
      </c>
      <c r="E34" s="120" t="s">
        <v>1642</v>
      </c>
      <c r="F34" s="120" t="s">
        <v>1642</v>
      </c>
      <c r="G34" s="120" t="s">
        <v>1642</v>
      </c>
      <c r="H34" s="120" t="s">
        <v>1642</v>
      </c>
      <c r="I34" s="120" t="s">
        <v>1643</v>
      </c>
    </row>
    <row r="35" spans="1:9" ht="16.5" x14ac:dyDescent="0.35">
      <c r="A35" s="251" t="s">
        <v>1791</v>
      </c>
      <c r="B35" s="120">
        <v>4</v>
      </c>
      <c r="C35" s="120">
        <v>59</v>
      </c>
      <c r="D35" s="120" t="s">
        <v>1642</v>
      </c>
      <c r="E35" s="120" t="s">
        <v>1642</v>
      </c>
      <c r="F35" s="120" t="s">
        <v>1642</v>
      </c>
      <c r="G35" s="120" t="s">
        <v>1643</v>
      </c>
      <c r="H35" s="120" t="s">
        <v>1642</v>
      </c>
      <c r="I35" s="120" t="s">
        <v>1643</v>
      </c>
    </row>
    <row r="36" spans="1:9" ht="16.5" x14ac:dyDescent="0.35">
      <c r="A36" s="251" t="s">
        <v>2570</v>
      </c>
      <c r="B36" s="120">
        <v>4</v>
      </c>
      <c r="C36" s="120">
        <v>31</v>
      </c>
      <c r="D36" s="120" t="s">
        <v>1643</v>
      </c>
      <c r="E36" s="120" t="s">
        <v>1642</v>
      </c>
      <c r="F36" s="120" t="s">
        <v>1642</v>
      </c>
      <c r="G36" s="120" t="s">
        <v>1642</v>
      </c>
      <c r="H36" s="120" t="s">
        <v>1642</v>
      </c>
      <c r="I36" s="120" t="s">
        <v>1643</v>
      </c>
    </row>
    <row r="37" spans="1:9" ht="16.5" x14ac:dyDescent="0.35">
      <c r="A37" s="251" t="s">
        <v>1792</v>
      </c>
      <c r="B37" s="120">
        <v>4</v>
      </c>
      <c r="C37" s="120">
        <v>27</v>
      </c>
      <c r="D37" s="120" t="s">
        <v>1642</v>
      </c>
      <c r="E37" s="120" t="s">
        <v>1643</v>
      </c>
      <c r="F37" s="120" t="s">
        <v>1642</v>
      </c>
      <c r="G37" s="120" t="s">
        <v>1642</v>
      </c>
      <c r="H37" s="120" t="s">
        <v>1642</v>
      </c>
      <c r="I37" s="120" t="s">
        <v>1643</v>
      </c>
    </row>
    <row r="38" spans="1:9" ht="16.5" x14ac:dyDescent="0.35">
      <c r="A38" s="251" t="s">
        <v>1793</v>
      </c>
      <c r="B38" s="120">
        <v>4</v>
      </c>
      <c r="C38" s="120">
        <v>79</v>
      </c>
      <c r="D38" s="120" t="s">
        <v>1643</v>
      </c>
      <c r="E38" s="120" t="s">
        <v>1642</v>
      </c>
      <c r="F38" s="120" t="s">
        <v>1642</v>
      </c>
      <c r="G38" s="120" t="s">
        <v>1643</v>
      </c>
      <c r="H38" s="120" t="s">
        <v>1642</v>
      </c>
      <c r="I38" s="120" t="s">
        <v>1642</v>
      </c>
    </row>
    <row r="39" spans="1:9" ht="16.5" x14ac:dyDescent="0.35">
      <c r="A39" s="251" t="s">
        <v>1794</v>
      </c>
      <c r="B39" s="120">
        <v>4</v>
      </c>
      <c r="C39" s="120">
        <v>50</v>
      </c>
      <c r="D39" s="120" t="s">
        <v>1643</v>
      </c>
      <c r="E39" s="120" t="s">
        <v>1642</v>
      </c>
      <c r="F39" s="120" t="s">
        <v>1642</v>
      </c>
      <c r="G39" s="120" t="s">
        <v>1642</v>
      </c>
      <c r="H39" s="120" t="s">
        <v>1642</v>
      </c>
      <c r="I39" s="120" t="s">
        <v>1643</v>
      </c>
    </row>
    <row r="40" spans="1:9" ht="16.5" x14ac:dyDescent="0.35">
      <c r="A40" s="251" t="s">
        <v>1795</v>
      </c>
      <c r="B40" s="120">
        <v>4</v>
      </c>
      <c r="C40" s="120">
        <v>29</v>
      </c>
      <c r="D40" s="120" t="s">
        <v>1642</v>
      </c>
      <c r="E40" s="120" t="s">
        <v>1642</v>
      </c>
      <c r="F40" s="120" t="s">
        <v>1643</v>
      </c>
      <c r="G40" s="120" t="s">
        <v>1642</v>
      </c>
      <c r="H40" s="120" t="s">
        <v>1642</v>
      </c>
      <c r="I40" s="120" t="s">
        <v>1643</v>
      </c>
    </row>
    <row r="41" spans="1:9" ht="16.5" x14ac:dyDescent="0.35">
      <c r="A41" s="251" t="s">
        <v>1796</v>
      </c>
      <c r="B41" s="120">
        <v>4</v>
      </c>
      <c r="C41" s="120">
        <v>26</v>
      </c>
      <c r="D41" s="120" t="s">
        <v>1642</v>
      </c>
      <c r="E41" s="120" t="s">
        <v>1642</v>
      </c>
      <c r="F41" s="120" t="s">
        <v>1642</v>
      </c>
      <c r="G41" s="120" t="s">
        <v>1642</v>
      </c>
      <c r="H41" s="120" t="s">
        <v>1643</v>
      </c>
      <c r="I41" s="120" t="s">
        <v>1643</v>
      </c>
    </row>
    <row r="42" spans="1:9" ht="16.5" x14ac:dyDescent="0.35">
      <c r="A42" s="251" t="s">
        <v>1797</v>
      </c>
      <c r="B42" s="120">
        <v>4</v>
      </c>
      <c r="C42" s="120">
        <v>3</v>
      </c>
      <c r="D42" s="120" t="s">
        <v>1642</v>
      </c>
      <c r="E42" s="120" t="s">
        <v>1642</v>
      </c>
      <c r="F42" s="120" t="s">
        <v>1642</v>
      </c>
      <c r="G42" s="120" t="s">
        <v>1643</v>
      </c>
      <c r="H42" s="120" t="s">
        <v>1642</v>
      </c>
      <c r="I42" s="120" t="s">
        <v>1643</v>
      </c>
    </row>
    <row r="43" spans="1:9" ht="16.5" x14ac:dyDescent="0.35">
      <c r="A43" s="251" t="s">
        <v>1798</v>
      </c>
      <c r="B43" s="120">
        <v>4</v>
      </c>
      <c r="C43" s="120">
        <v>28</v>
      </c>
      <c r="D43" s="120" t="s">
        <v>1642</v>
      </c>
      <c r="E43" s="120" t="s">
        <v>1643</v>
      </c>
      <c r="F43" s="120" t="s">
        <v>1642</v>
      </c>
      <c r="G43" s="120" t="s">
        <v>1642</v>
      </c>
      <c r="H43" s="120" t="s">
        <v>1642</v>
      </c>
      <c r="I43" s="120" t="s">
        <v>1643</v>
      </c>
    </row>
    <row r="44" spans="1:9" ht="16.5" x14ac:dyDescent="0.35">
      <c r="A44" s="251" t="s">
        <v>1799</v>
      </c>
      <c r="B44" s="120">
        <v>4</v>
      </c>
      <c r="C44" s="120">
        <v>9</v>
      </c>
      <c r="D44" s="120" t="s">
        <v>1642</v>
      </c>
      <c r="E44" s="120" t="s">
        <v>1642</v>
      </c>
      <c r="F44" s="120" t="s">
        <v>1642</v>
      </c>
      <c r="G44" s="120" t="s">
        <v>1642</v>
      </c>
      <c r="H44" s="120" t="s">
        <v>1643</v>
      </c>
      <c r="I44" s="120" t="s">
        <v>1643</v>
      </c>
    </row>
    <row r="45" spans="1:9" ht="16.5" x14ac:dyDescent="0.35">
      <c r="A45" s="251" t="s">
        <v>1800</v>
      </c>
      <c r="B45" s="120">
        <v>4</v>
      </c>
      <c r="C45" s="120">
        <v>51</v>
      </c>
      <c r="D45" s="120" t="s">
        <v>1643</v>
      </c>
      <c r="E45" s="120" t="s">
        <v>1642</v>
      </c>
      <c r="F45" s="120" t="s">
        <v>1642</v>
      </c>
      <c r="G45" s="120" t="s">
        <v>1643</v>
      </c>
      <c r="H45" s="120" t="s">
        <v>1642</v>
      </c>
      <c r="I45" s="120" t="s">
        <v>1642</v>
      </c>
    </row>
    <row r="46" spans="1:9" ht="16.5" x14ac:dyDescent="0.35">
      <c r="A46" s="251" t="s">
        <v>2571</v>
      </c>
      <c r="B46" s="120">
        <v>4</v>
      </c>
      <c r="C46" s="120">
        <v>10</v>
      </c>
      <c r="D46" s="120" t="s">
        <v>1643</v>
      </c>
      <c r="E46" s="120" t="s">
        <v>1642</v>
      </c>
      <c r="F46" s="120" t="s">
        <v>1643</v>
      </c>
      <c r="G46" s="120" t="s">
        <v>1642</v>
      </c>
      <c r="H46" s="120" t="s">
        <v>1642</v>
      </c>
      <c r="I46" s="120" t="s">
        <v>1642</v>
      </c>
    </row>
    <row r="47" spans="1:9" ht="16.5" x14ac:dyDescent="0.35">
      <c r="A47" s="251" t="s">
        <v>1801</v>
      </c>
      <c r="B47" s="120">
        <v>4</v>
      </c>
      <c r="C47" s="120">
        <v>10</v>
      </c>
      <c r="D47" s="120" t="s">
        <v>1642</v>
      </c>
      <c r="E47" s="120" t="s">
        <v>1642</v>
      </c>
      <c r="F47" s="120" t="s">
        <v>1643</v>
      </c>
      <c r="G47" s="120" t="s">
        <v>1642</v>
      </c>
      <c r="H47" s="120" t="s">
        <v>1642</v>
      </c>
      <c r="I47" s="120" t="s">
        <v>1643</v>
      </c>
    </row>
    <row r="48" spans="1:9" ht="16.5" x14ac:dyDescent="0.35">
      <c r="A48" s="251" t="s">
        <v>1802</v>
      </c>
      <c r="B48" s="120">
        <v>4</v>
      </c>
      <c r="C48" s="120">
        <v>63</v>
      </c>
      <c r="D48" s="120" t="s">
        <v>1643</v>
      </c>
      <c r="E48" s="120" t="s">
        <v>1642</v>
      </c>
      <c r="F48" s="120" t="s">
        <v>1642</v>
      </c>
      <c r="G48" s="120" t="s">
        <v>1642</v>
      </c>
      <c r="H48" s="120" t="s">
        <v>1642</v>
      </c>
      <c r="I48" s="120" t="s">
        <v>1643</v>
      </c>
    </row>
    <row r="49" spans="1:9" ht="16.5" x14ac:dyDescent="0.35">
      <c r="A49" s="251" t="s">
        <v>1803</v>
      </c>
      <c r="B49" s="120">
        <v>4</v>
      </c>
      <c r="C49" s="120">
        <v>42</v>
      </c>
      <c r="D49" s="120" t="s">
        <v>1642</v>
      </c>
      <c r="E49" s="120" t="s">
        <v>1642</v>
      </c>
      <c r="F49" s="120" t="s">
        <v>1643</v>
      </c>
      <c r="G49" s="120" t="s">
        <v>1642</v>
      </c>
      <c r="H49" s="120" t="s">
        <v>1642</v>
      </c>
      <c r="I49" s="120" t="s">
        <v>1643</v>
      </c>
    </row>
    <row r="50" spans="1:9" ht="16.5" x14ac:dyDescent="0.35">
      <c r="A50" s="251" t="s">
        <v>1804</v>
      </c>
      <c r="B50" s="120">
        <v>4</v>
      </c>
      <c r="C50" s="120">
        <v>36</v>
      </c>
      <c r="D50" s="120" t="s">
        <v>1643</v>
      </c>
      <c r="E50" s="120" t="s">
        <v>1642</v>
      </c>
      <c r="F50" s="120" t="s">
        <v>1642</v>
      </c>
      <c r="G50" s="120" t="s">
        <v>1642</v>
      </c>
      <c r="H50" s="120" t="s">
        <v>1642</v>
      </c>
      <c r="I50" s="120" t="s">
        <v>1643</v>
      </c>
    </row>
    <row r="51" spans="1:9" ht="16.5" x14ac:dyDescent="0.35">
      <c r="A51" s="251" t="s">
        <v>1805</v>
      </c>
      <c r="B51" s="120">
        <v>4</v>
      </c>
      <c r="C51" s="120">
        <v>27</v>
      </c>
      <c r="D51" s="120" t="s">
        <v>1643</v>
      </c>
      <c r="E51" s="120" t="s">
        <v>1642</v>
      </c>
      <c r="F51" s="120" t="s">
        <v>1642</v>
      </c>
      <c r="G51" s="120" t="s">
        <v>1642</v>
      </c>
      <c r="H51" s="120" t="s">
        <v>1642</v>
      </c>
      <c r="I51" s="120" t="s">
        <v>1643</v>
      </c>
    </row>
    <row r="52" spans="1:9" ht="16.5" x14ac:dyDescent="0.35">
      <c r="A52" s="251" t="s">
        <v>1806</v>
      </c>
      <c r="B52" s="120">
        <v>3</v>
      </c>
      <c r="C52" s="120">
        <v>13</v>
      </c>
      <c r="D52" s="120" t="s">
        <v>1643</v>
      </c>
      <c r="E52" s="120" t="s">
        <v>1642</v>
      </c>
      <c r="F52" s="120" t="s">
        <v>1642</v>
      </c>
      <c r="G52" s="120" t="s">
        <v>1643</v>
      </c>
      <c r="H52" s="120" t="s">
        <v>1642</v>
      </c>
      <c r="I52" s="120" t="s">
        <v>1643</v>
      </c>
    </row>
    <row r="53" spans="1:9" ht="16.5" x14ac:dyDescent="0.35">
      <c r="A53" s="251" t="s">
        <v>1807</v>
      </c>
      <c r="B53" s="120">
        <v>3</v>
      </c>
      <c r="C53" s="120">
        <v>25</v>
      </c>
      <c r="D53" s="120" t="s">
        <v>1643</v>
      </c>
      <c r="E53" s="120" t="s">
        <v>1642</v>
      </c>
      <c r="F53" s="120" t="s">
        <v>1642</v>
      </c>
      <c r="G53" s="120" t="s">
        <v>1642</v>
      </c>
      <c r="H53" s="120" t="s">
        <v>1643</v>
      </c>
      <c r="I53" s="120" t="s">
        <v>1643</v>
      </c>
    </row>
    <row r="54" spans="1:9" ht="16.5" x14ac:dyDescent="0.35">
      <c r="A54" s="251" t="s">
        <v>1808</v>
      </c>
      <c r="B54" s="120">
        <v>3</v>
      </c>
      <c r="C54" s="120">
        <v>3</v>
      </c>
      <c r="D54" s="120" t="s">
        <v>1643</v>
      </c>
      <c r="E54" s="120" t="s">
        <v>1642</v>
      </c>
      <c r="F54" s="120" t="s">
        <v>1642</v>
      </c>
      <c r="G54" s="120" t="s">
        <v>1643</v>
      </c>
      <c r="H54" s="120" t="s">
        <v>1642</v>
      </c>
      <c r="I54" s="120" t="s">
        <v>1643</v>
      </c>
    </row>
    <row r="55" spans="1:9" ht="16.5" x14ac:dyDescent="0.35">
      <c r="A55" s="251" t="s">
        <v>1809</v>
      </c>
      <c r="B55" s="120">
        <v>3</v>
      </c>
      <c r="C55" s="120">
        <v>72</v>
      </c>
      <c r="D55" s="120" t="s">
        <v>1643</v>
      </c>
      <c r="E55" s="120" t="s">
        <v>1642</v>
      </c>
      <c r="F55" s="120" t="s">
        <v>1642</v>
      </c>
      <c r="G55" s="120" t="s">
        <v>1643</v>
      </c>
      <c r="H55" s="120" t="s">
        <v>1642</v>
      </c>
      <c r="I55" s="120" t="s">
        <v>1643</v>
      </c>
    </row>
    <row r="56" spans="1:9" ht="16.5" x14ac:dyDescent="0.35">
      <c r="A56" s="251" t="s">
        <v>1810</v>
      </c>
      <c r="B56" s="120">
        <v>3</v>
      </c>
      <c r="C56" s="120">
        <v>35</v>
      </c>
      <c r="D56" s="120" t="s">
        <v>1642</v>
      </c>
      <c r="E56" s="120" t="s">
        <v>1642</v>
      </c>
      <c r="F56" s="120" t="s">
        <v>1642</v>
      </c>
      <c r="G56" s="120" t="s">
        <v>1643</v>
      </c>
      <c r="H56" s="120" t="s">
        <v>1643</v>
      </c>
      <c r="I56" s="120" t="s">
        <v>1643</v>
      </c>
    </row>
    <row r="57" spans="1:9" ht="16.5" x14ac:dyDescent="0.35">
      <c r="A57" s="251" t="s">
        <v>1811</v>
      </c>
      <c r="B57" s="120">
        <v>3</v>
      </c>
      <c r="C57" s="120">
        <v>91</v>
      </c>
      <c r="D57" s="120" t="s">
        <v>1642</v>
      </c>
      <c r="E57" s="120" t="s">
        <v>1642</v>
      </c>
      <c r="F57" s="120" t="s">
        <v>1643</v>
      </c>
      <c r="G57" s="120" t="s">
        <v>1643</v>
      </c>
      <c r="H57" s="120" t="s">
        <v>1642</v>
      </c>
      <c r="I57" s="120" t="s">
        <v>1643</v>
      </c>
    </row>
    <row r="58" spans="1:9" ht="16.5" x14ac:dyDescent="0.35">
      <c r="A58" s="251" t="s">
        <v>1812</v>
      </c>
      <c r="B58" s="120">
        <v>3</v>
      </c>
      <c r="C58" s="120">
        <v>72</v>
      </c>
      <c r="D58" s="120" t="s">
        <v>1642</v>
      </c>
      <c r="E58" s="120" t="s">
        <v>1642</v>
      </c>
      <c r="F58" s="120" t="s">
        <v>1643</v>
      </c>
      <c r="G58" s="120" t="s">
        <v>1643</v>
      </c>
      <c r="H58" s="120" t="s">
        <v>1642</v>
      </c>
      <c r="I58" s="120" t="s">
        <v>1643</v>
      </c>
    </row>
    <row r="59" spans="1:9" ht="16.5" x14ac:dyDescent="0.35">
      <c r="A59" s="251" t="s">
        <v>1813</v>
      </c>
      <c r="B59" s="120">
        <v>3</v>
      </c>
      <c r="C59" s="120">
        <v>92</v>
      </c>
      <c r="D59" s="120" t="s">
        <v>1643</v>
      </c>
      <c r="E59" s="120" t="s">
        <v>1642</v>
      </c>
      <c r="F59" s="120" t="s">
        <v>1643</v>
      </c>
      <c r="G59" s="120" t="s">
        <v>1643</v>
      </c>
      <c r="H59" s="120" t="s">
        <v>1642</v>
      </c>
      <c r="I59" s="120" t="s">
        <v>1642</v>
      </c>
    </row>
    <row r="60" spans="1:9" ht="16.5" x14ac:dyDescent="0.35">
      <c r="A60" s="251" t="s">
        <v>1814</v>
      </c>
      <c r="B60" s="120">
        <v>3</v>
      </c>
      <c r="C60" s="120">
        <v>26</v>
      </c>
      <c r="D60" s="120" t="s">
        <v>1643</v>
      </c>
      <c r="E60" s="120" t="s">
        <v>1643</v>
      </c>
      <c r="F60" s="120" t="s">
        <v>1642</v>
      </c>
      <c r="G60" s="120" t="s">
        <v>1642</v>
      </c>
      <c r="H60" s="120" t="s">
        <v>1642</v>
      </c>
      <c r="I60" s="120" t="s">
        <v>1643</v>
      </c>
    </row>
    <row r="61" spans="1:9" ht="16.5" x14ac:dyDescent="0.35">
      <c r="A61" s="251" t="s">
        <v>1815</v>
      </c>
      <c r="B61" s="120">
        <v>3</v>
      </c>
      <c r="C61" s="120">
        <v>92</v>
      </c>
      <c r="D61" s="120" t="s">
        <v>1643</v>
      </c>
      <c r="E61" s="120" t="s">
        <v>1642</v>
      </c>
      <c r="F61" s="120" t="s">
        <v>1642</v>
      </c>
      <c r="G61" s="120" t="s">
        <v>1643</v>
      </c>
      <c r="H61" s="120" t="s">
        <v>1642</v>
      </c>
      <c r="I61" s="120" t="s">
        <v>1643</v>
      </c>
    </row>
    <row r="62" spans="1:9" ht="16.5" x14ac:dyDescent="0.35">
      <c r="A62" s="251" t="s">
        <v>1816</v>
      </c>
      <c r="B62" s="120">
        <v>3</v>
      </c>
      <c r="C62" s="120">
        <v>59</v>
      </c>
      <c r="D62" s="120" t="s">
        <v>1643</v>
      </c>
      <c r="E62" s="120" t="s">
        <v>1642</v>
      </c>
      <c r="F62" s="120" t="s">
        <v>1643</v>
      </c>
      <c r="G62" s="120" t="s">
        <v>1642</v>
      </c>
      <c r="H62" s="120" t="s">
        <v>1642</v>
      </c>
      <c r="I62" s="120" t="s">
        <v>1643</v>
      </c>
    </row>
    <row r="63" spans="1:9" ht="16.5" x14ac:dyDescent="0.35">
      <c r="A63" s="251" t="s">
        <v>1817</v>
      </c>
      <c r="B63" s="120">
        <v>3</v>
      </c>
      <c r="C63" s="120">
        <v>89</v>
      </c>
      <c r="D63" s="120" t="s">
        <v>1642</v>
      </c>
      <c r="E63" s="120" t="s">
        <v>1642</v>
      </c>
      <c r="F63" s="120" t="s">
        <v>1643</v>
      </c>
      <c r="G63" s="120" t="s">
        <v>1643</v>
      </c>
      <c r="H63" s="120" t="s">
        <v>1642</v>
      </c>
      <c r="I63" s="120" t="s">
        <v>1643</v>
      </c>
    </row>
    <row r="64" spans="1:9" ht="16.5" x14ac:dyDescent="0.35">
      <c r="A64" s="251" t="s">
        <v>1818</v>
      </c>
      <c r="B64" s="120">
        <v>3</v>
      </c>
      <c r="C64" s="120">
        <v>18</v>
      </c>
      <c r="D64" s="120" t="s">
        <v>1642</v>
      </c>
      <c r="E64" s="120" t="s">
        <v>1643</v>
      </c>
      <c r="F64" s="120" t="s">
        <v>1642</v>
      </c>
      <c r="G64" s="120" t="s">
        <v>1642</v>
      </c>
      <c r="H64" s="120" t="s">
        <v>1643</v>
      </c>
      <c r="I64" s="120" t="s">
        <v>1643</v>
      </c>
    </row>
    <row r="65" spans="1:9" ht="16.5" x14ac:dyDescent="0.35">
      <c r="A65" s="251" t="s">
        <v>1819</v>
      </c>
      <c r="B65" s="120">
        <v>3</v>
      </c>
      <c r="C65" s="120">
        <v>70</v>
      </c>
      <c r="D65" s="120" t="s">
        <v>1642</v>
      </c>
      <c r="E65" s="120" t="s">
        <v>1642</v>
      </c>
      <c r="F65" s="120" t="s">
        <v>1643</v>
      </c>
      <c r="G65" s="120" t="s">
        <v>1643</v>
      </c>
      <c r="H65" s="120" t="s">
        <v>1642</v>
      </c>
      <c r="I65" s="120" t="s">
        <v>1643</v>
      </c>
    </row>
    <row r="66" spans="1:9" ht="16.5" x14ac:dyDescent="0.35">
      <c r="A66" s="251" t="s">
        <v>1820</v>
      </c>
      <c r="B66" s="120">
        <v>3</v>
      </c>
      <c r="C66" s="120">
        <v>35</v>
      </c>
      <c r="D66" s="120" t="s">
        <v>1643</v>
      </c>
      <c r="E66" s="120" t="s">
        <v>1642</v>
      </c>
      <c r="F66" s="120" t="s">
        <v>1642</v>
      </c>
      <c r="G66" s="120" t="s">
        <v>1642</v>
      </c>
      <c r="H66" s="120" t="s">
        <v>1643</v>
      </c>
      <c r="I66" s="120" t="s">
        <v>1643</v>
      </c>
    </row>
    <row r="67" spans="1:9" ht="16.5" x14ac:dyDescent="0.35">
      <c r="A67" s="251" t="s">
        <v>1821</v>
      </c>
      <c r="B67" s="120">
        <v>3</v>
      </c>
      <c r="C67" s="120">
        <v>93</v>
      </c>
      <c r="D67" s="120" t="s">
        <v>1643</v>
      </c>
      <c r="E67" s="120" t="s">
        <v>1642</v>
      </c>
      <c r="F67" s="120" t="s">
        <v>1643</v>
      </c>
      <c r="G67" s="120" t="s">
        <v>1642</v>
      </c>
      <c r="H67" s="120" t="s">
        <v>1642</v>
      </c>
      <c r="I67" s="120" t="s">
        <v>1643</v>
      </c>
    </row>
    <row r="68" spans="1:9" ht="16.5" x14ac:dyDescent="0.35">
      <c r="A68" s="251" t="s">
        <v>1822</v>
      </c>
      <c r="B68" s="120">
        <v>3</v>
      </c>
      <c r="C68" s="120">
        <v>38</v>
      </c>
      <c r="D68" s="120" t="s">
        <v>1642</v>
      </c>
      <c r="E68" s="120" t="s">
        <v>1642</v>
      </c>
      <c r="F68" s="120" t="s">
        <v>1643</v>
      </c>
      <c r="G68" s="120" t="s">
        <v>1643</v>
      </c>
      <c r="H68" s="120" t="s">
        <v>1642</v>
      </c>
      <c r="I68" s="120" t="s">
        <v>1643</v>
      </c>
    </row>
    <row r="69" spans="1:9" ht="16.5" x14ac:dyDescent="0.35">
      <c r="A69" s="251" t="s">
        <v>1823</v>
      </c>
      <c r="B69" s="120">
        <v>3</v>
      </c>
      <c r="C69" s="120">
        <v>40</v>
      </c>
      <c r="D69" s="120" t="s">
        <v>1643</v>
      </c>
      <c r="E69" s="120" t="s">
        <v>1642</v>
      </c>
      <c r="F69" s="120" t="s">
        <v>1643</v>
      </c>
      <c r="G69" s="120" t="s">
        <v>1643</v>
      </c>
      <c r="H69" s="120" t="s">
        <v>1642</v>
      </c>
      <c r="I69" s="120" t="s">
        <v>1642</v>
      </c>
    </row>
    <row r="70" spans="1:9" ht="16.5" x14ac:dyDescent="0.35">
      <c r="A70" s="251" t="s">
        <v>1824</v>
      </c>
      <c r="B70" s="120">
        <v>3</v>
      </c>
      <c r="C70" s="120">
        <v>22</v>
      </c>
      <c r="D70" s="120" t="s">
        <v>1643</v>
      </c>
      <c r="E70" s="120" t="s">
        <v>1642</v>
      </c>
      <c r="F70" s="120" t="s">
        <v>1642</v>
      </c>
      <c r="G70" s="120" t="s">
        <v>1643</v>
      </c>
      <c r="H70" s="120" t="s">
        <v>1642</v>
      </c>
      <c r="I70" s="120" t="s">
        <v>1643</v>
      </c>
    </row>
    <row r="71" spans="1:9" ht="16.5" x14ac:dyDescent="0.35">
      <c r="A71" s="251" t="s">
        <v>1825</v>
      </c>
      <c r="B71" s="120">
        <v>3</v>
      </c>
      <c r="C71" s="120">
        <v>28</v>
      </c>
      <c r="D71" s="120" t="s">
        <v>1643</v>
      </c>
      <c r="E71" s="120" t="s">
        <v>1642</v>
      </c>
      <c r="F71" s="120" t="s">
        <v>1642</v>
      </c>
      <c r="G71" s="120" t="s">
        <v>1643</v>
      </c>
      <c r="H71" s="120" t="s">
        <v>1642</v>
      </c>
      <c r="I71" s="120" t="s">
        <v>1643</v>
      </c>
    </row>
    <row r="72" spans="1:9" ht="16.5" x14ac:dyDescent="0.35">
      <c r="A72" s="251" t="s">
        <v>1826</v>
      </c>
      <c r="B72" s="120">
        <v>3</v>
      </c>
      <c r="C72" s="120">
        <v>33</v>
      </c>
      <c r="D72" s="120" t="s">
        <v>1642</v>
      </c>
      <c r="E72" s="120" t="s">
        <v>1642</v>
      </c>
      <c r="F72" s="120" t="s">
        <v>1643</v>
      </c>
      <c r="G72" s="120" t="s">
        <v>1643</v>
      </c>
      <c r="H72" s="120" t="s">
        <v>1642</v>
      </c>
      <c r="I72" s="120" t="s">
        <v>1643</v>
      </c>
    </row>
    <row r="73" spans="1:9" ht="16.5" x14ac:dyDescent="0.35">
      <c r="A73" s="251" t="s">
        <v>1827</v>
      </c>
      <c r="B73" s="120">
        <v>3</v>
      </c>
      <c r="C73" s="120">
        <v>72</v>
      </c>
      <c r="D73" s="120" t="s">
        <v>1643</v>
      </c>
      <c r="E73" s="120" t="s">
        <v>1642</v>
      </c>
      <c r="F73" s="120" t="s">
        <v>1642</v>
      </c>
      <c r="G73" s="120" t="s">
        <v>1643</v>
      </c>
      <c r="H73" s="120" t="s">
        <v>1642</v>
      </c>
      <c r="I73" s="120" t="s">
        <v>1643</v>
      </c>
    </row>
    <row r="74" spans="1:9" ht="16.5" x14ac:dyDescent="0.35">
      <c r="A74" s="251" t="s">
        <v>1828</v>
      </c>
      <c r="B74" s="120">
        <v>3</v>
      </c>
      <c r="C74" s="120">
        <v>31</v>
      </c>
      <c r="D74" s="120" t="s">
        <v>1642</v>
      </c>
      <c r="E74" s="120" t="s">
        <v>1642</v>
      </c>
      <c r="F74" s="120" t="s">
        <v>1642</v>
      </c>
      <c r="G74" s="120" t="s">
        <v>1643</v>
      </c>
      <c r="H74" s="120" t="s">
        <v>1643</v>
      </c>
      <c r="I74" s="120" t="s">
        <v>1643</v>
      </c>
    </row>
    <row r="75" spans="1:9" ht="16.5" x14ac:dyDescent="0.35">
      <c r="A75" s="251" t="s">
        <v>1829</v>
      </c>
      <c r="B75" s="120">
        <v>3</v>
      </c>
      <c r="C75" s="120">
        <v>29</v>
      </c>
      <c r="D75" s="120" t="s">
        <v>1643</v>
      </c>
      <c r="E75" s="120" t="s">
        <v>1642</v>
      </c>
      <c r="F75" s="120" t="s">
        <v>1642</v>
      </c>
      <c r="G75" s="120" t="s">
        <v>1643</v>
      </c>
      <c r="H75" s="120" t="s">
        <v>1642</v>
      </c>
      <c r="I75" s="120" t="s">
        <v>1643</v>
      </c>
    </row>
    <row r="76" spans="1:9" ht="16.5" x14ac:dyDescent="0.35">
      <c r="A76" s="251" t="s">
        <v>1830</v>
      </c>
      <c r="B76" s="120">
        <v>3</v>
      </c>
      <c r="C76" s="120">
        <v>87</v>
      </c>
      <c r="D76" s="120" t="s">
        <v>1643</v>
      </c>
      <c r="E76" s="120" t="s">
        <v>1642</v>
      </c>
      <c r="F76" s="120" t="s">
        <v>1643</v>
      </c>
      <c r="G76" s="120" t="s">
        <v>1642</v>
      </c>
      <c r="H76" s="120" t="s">
        <v>1642</v>
      </c>
      <c r="I76" s="120" t="s">
        <v>1643</v>
      </c>
    </row>
    <row r="77" spans="1:9" ht="16.5" x14ac:dyDescent="0.35">
      <c r="A77" s="251" t="s">
        <v>1831</v>
      </c>
      <c r="B77" s="120">
        <v>3</v>
      </c>
      <c r="C77" s="120">
        <v>3</v>
      </c>
      <c r="D77" s="120" t="s">
        <v>1642</v>
      </c>
      <c r="E77" s="120" t="s">
        <v>1642</v>
      </c>
      <c r="F77" s="120" t="s">
        <v>1643</v>
      </c>
      <c r="G77" s="120" t="s">
        <v>1643</v>
      </c>
      <c r="H77" s="120" t="s">
        <v>1642</v>
      </c>
      <c r="I77" s="120" t="s">
        <v>1643</v>
      </c>
    </row>
    <row r="78" spans="1:9" ht="16.5" x14ac:dyDescent="0.35">
      <c r="A78" s="251" t="s">
        <v>1832</v>
      </c>
      <c r="B78" s="120">
        <v>3</v>
      </c>
      <c r="C78" s="120">
        <v>7</v>
      </c>
      <c r="D78" s="120" t="s">
        <v>1643</v>
      </c>
      <c r="E78" s="120" t="s">
        <v>1642</v>
      </c>
      <c r="F78" s="120" t="s">
        <v>1643</v>
      </c>
      <c r="G78" s="120" t="s">
        <v>1643</v>
      </c>
      <c r="H78" s="120" t="s">
        <v>1642</v>
      </c>
      <c r="I78" s="120" t="s">
        <v>1642</v>
      </c>
    </row>
    <row r="79" spans="1:9" ht="16.5" x14ac:dyDescent="0.35">
      <c r="A79" s="251" t="s">
        <v>1833</v>
      </c>
      <c r="B79" s="120">
        <v>3</v>
      </c>
      <c r="C79" s="120">
        <v>22</v>
      </c>
      <c r="D79" s="120" t="s">
        <v>1642</v>
      </c>
      <c r="E79" s="120" t="s">
        <v>1642</v>
      </c>
      <c r="F79" s="120" t="s">
        <v>1643</v>
      </c>
      <c r="G79" s="120" t="s">
        <v>1643</v>
      </c>
      <c r="H79" s="120" t="s">
        <v>1642</v>
      </c>
      <c r="I79" s="120" t="s">
        <v>1643</v>
      </c>
    </row>
    <row r="80" spans="1:9" ht="16.5" x14ac:dyDescent="0.35">
      <c r="A80" s="251" t="s">
        <v>1834</v>
      </c>
      <c r="B80" s="120">
        <v>3</v>
      </c>
      <c r="C80" s="120">
        <v>72</v>
      </c>
      <c r="D80" s="120" t="s">
        <v>1642</v>
      </c>
      <c r="E80" s="120" t="s">
        <v>1643</v>
      </c>
      <c r="F80" s="120" t="s">
        <v>1643</v>
      </c>
      <c r="G80" s="120" t="s">
        <v>1642</v>
      </c>
      <c r="H80" s="120" t="s">
        <v>1642</v>
      </c>
      <c r="I80" s="120" t="s">
        <v>1643</v>
      </c>
    </row>
    <row r="81" spans="1:9" ht="16.5" x14ac:dyDescent="0.35">
      <c r="A81" s="251" t="s">
        <v>1835</v>
      </c>
      <c r="B81" s="120">
        <v>3</v>
      </c>
      <c r="C81" s="120">
        <v>93</v>
      </c>
      <c r="D81" s="120" t="s">
        <v>1643</v>
      </c>
      <c r="E81" s="120" t="s">
        <v>1642</v>
      </c>
      <c r="F81" s="120" t="s">
        <v>1642</v>
      </c>
      <c r="G81" s="120" t="s">
        <v>1642</v>
      </c>
      <c r="H81" s="120" t="s">
        <v>1643</v>
      </c>
      <c r="I81" s="120" t="s">
        <v>1643</v>
      </c>
    </row>
    <row r="82" spans="1:9" ht="16.5" x14ac:dyDescent="0.35">
      <c r="A82" s="251" t="s">
        <v>1836</v>
      </c>
      <c r="B82" s="120">
        <v>3</v>
      </c>
      <c r="C82" s="120">
        <v>74</v>
      </c>
      <c r="D82" s="120" t="s">
        <v>1643</v>
      </c>
      <c r="E82" s="120" t="s">
        <v>1642</v>
      </c>
      <c r="F82" s="120" t="s">
        <v>1642</v>
      </c>
      <c r="G82" s="120" t="s">
        <v>1643</v>
      </c>
      <c r="H82" s="120" t="s">
        <v>1642</v>
      </c>
      <c r="I82" s="120" t="s">
        <v>1643</v>
      </c>
    </row>
    <row r="83" spans="1:9" ht="16.5" x14ac:dyDescent="0.35">
      <c r="A83" s="251" t="s">
        <v>1837</v>
      </c>
      <c r="B83" s="120">
        <v>3</v>
      </c>
      <c r="C83" s="120">
        <v>73</v>
      </c>
      <c r="D83" s="120" t="s">
        <v>1643</v>
      </c>
      <c r="E83" s="120" t="s">
        <v>1642</v>
      </c>
      <c r="F83" s="120" t="s">
        <v>1642</v>
      </c>
      <c r="G83" s="120" t="s">
        <v>1643</v>
      </c>
      <c r="H83" s="120" t="s">
        <v>1642</v>
      </c>
      <c r="I83" s="120" t="s">
        <v>1643</v>
      </c>
    </row>
    <row r="84" spans="1:9" ht="16.5" x14ac:dyDescent="0.35">
      <c r="A84" s="251" t="s">
        <v>1838</v>
      </c>
      <c r="B84" s="120">
        <v>3</v>
      </c>
      <c r="C84" s="120">
        <v>90</v>
      </c>
      <c r="D84" s="120" t="s">
        <v>1643</v>
      </c>
      <c r="E84" s="120" t="s">
        <v>1642</v>
      </c>
      <c r="F84" s="120" t="s">
        <v>1643</v>
      </c>
      <c r="G84" s="120" t="s">
        <v>1643</v>
      </c>
      <c r="H84" s="120" t="s">
        <v>1642</v>
      </c>
      <c r="I84" s="120" t="s">
        <v>1642</v>
      </c>
    </row>
    <row r="85" spans="1:9" ht="16.5" x14ac:dyDescent="0.35">
      <c r="A85" s="251" t="s">
        <v>1839</v>
      </c>
      <c r="B85" s="120">
        <v>3</v>
      </c>
      <c r="C85" s="120">
        <v>2</v>
      </c>
      <c r="D85" s="120" t="s">
        <v>1643</v>
      </c>
      <c r="E85" s="120" t="s">
        <v>1642</v>
      </c>
      <c r="F85" s="120" t="s">
        <v>1642</v>
      </c>
      <c r="G85" s="120" t="s">
        <v>1643</v>
      </c>
      <c r="H85" s="120" t="s">
        <v>1642</v>
      </c>
      <c r="I85" s="120" t="s">
        <v>1643</v>
      </c>
    </row>
    <row r="86" spans="1:9" ht="16.5" x14ac:dyDescent="0.35">
      <c r="A86" s="251" t="s">
        <v>1840</v>
      </c>
      <c r="B86" s="120">
        <v>3</v>
      </c>
      <c r="C86" s="120">
        <v>51</v>
      </c>
      <c r="D86" s="120" t="s">
        <v>1643</v>
      </c>
      <c r="E86" s="120" t="s">
        <v>1642</v>
      </c>
      <c r="F86" s="120" t="s">
        <v>1642</v>
      </c>
      <c r="G86" s="120" t="s">
        <v>1643</v>
      </c>
      <c r="H86" s="120" t="s">
        <v>1642</v>
      </c>
      <c r="I86" s="120" t="s">
        <v>1643</v>
      </c>
    </row>
    <row r="87" spans="1:9" ht="16.5" x14ac:dyDescent="0.35">
      <c r="A87" s="251" t="s">
        <v>1841</v>
      </c>
      <c r="B87" s="120">
        <v>3</v>
      </c>
      <c r="C87" s="120">
        <v>27</v>
      </c>
      <c r="D87" s="120" t="s">
        <v>1643</v>
      </c>
      <c r="E87" s="120" t="s">
        <v>1642</v>
      </c>
      <c r="F87" s="120" t="s">
        <v>1643</v>
      </c>
      <c r="G87" s="120" t="s">
        <v>1643</v>
      </c>
      <c r="H87" s="120" t="s">
        <v>1642</v>
      </c>
      <c r="I87" s="120" t="s">
        <v>1642</v>
      </c>
    </row>
    <row r="88" spans="1:9" ht="16.5" x14ac:dyDescent="0.35">
      <c r="A88" s="251" t="s">
        <v>1842</v>
      </c>
      <c r="B88" s="120">
        <v>3</v>
      </c>
      <c r="C88" s="120">
        <v>51</v>
      </c>
      <c r="D88" s="120" t="s">
        <v>1643</v>
      </c>
      <c r="E88" s="120" t="s">
        <v>1642</v>
      </c>
      <c r="F88" s="120" t="s">
        <v>1643</v>
      </c>
      <c r="G88" s="120" t="s">
        <v>1642</v>
      </c>
      <c r="H88" s="120" t="s">
        <v>1642</v>
      </c>
      <c r="I88" s="120" t="s">
        <v>1643</v>
      </c>
    </row>
    <row r="89" spans="1:9" ht="16.5" x14ac:dyDescent="0.35">
      <c r="A89" s="251" t="s">
        <v>1843</v>
      </c>
      <c r="B89" s="120">
        <v>3</v>
      </c>
      <c r="C89" s="120">
        <v>59</v>
      </c>
      <c r="D89" s="120" t="s">
        <v>1643</v>
      </c>
      <c r="E89" s="120" t="s">
        <v>1642</v>
      </c>
      <c r="F89" s="120" t="s">
        <v>1643</v>
      </c>
      <c r="G89" s="120" t="s">
        <v>1642</v>
      </c>
      <c r="H89" s="120" t="s">
        <v>1642</v>
      </c>
      <c r="I89" s="120" t="s">
        <v>1643</v>
      </c>
    </row>
    <row r="90" spans="1:9" ht="16.5" x14ac:dyDescent="0.35">
      <c r="A90" s="251" t="s">
        <v>1844</v>
      </c>
      <c r="B90" s="120">
        <v>3</v>
      </c>
      <c r="C90" s="120">
        <v>51</v>
      </c>
      <c r="D90" s="120" t="s">
        <v>1643</v>
      </c>
      <c r="E90" s="120" t="s">
        <v>1642</v>
      </c>
      <c r="F90" s="120" t="s">
        <v>1642</v>
      </c>
      <c r="G90" s="120" t="s">
        <v>1643</v>
      </c>
      <c r="H90" s="120" t="s">
        <v>1642</v>
      </c>
      <c r="I90" s="120" t="s">
        <v>1643</v>
      </c>
    </row>
    <row r="91" spans="1:9" ht="16.5" x14ac:dyDescent="0.35">
      <c r="A91" s="251" t="s">
        <v>1845</v>
      </c>
      <c r="B91" s="120">
        <v>3</v>
      </c>
      <c r="C91" s="120">
        <v>73</v>
      </c>
      <c r="D91" s="120" t="s">
        <v>1643</v>
      </c>
      <c r="E91" s="120" t="s">
        <v>1642</v>
      </c>
      <c r="F91" s="120" t="s">
        <v>1642</v>
      </c>
      <c r="G91" s="120" t="s">
        <v>1643</v>
      </c>
      <c r="H91" s="120" t="s">
        <v>1642</v>
      </c>
      <c r="I91" s="120" t="s">
        <v>1643</v>
      </c>
    </row>
    <row r="92" spans="1:9" ht="16.5" x14ac:dyDescent="0.35">
      <c r="A92" s="251" t="s">
        <v>1846</v>
      </c>
      <c r="B92" s="120">
        <v>3</v>
      </c>
      <c r="C92" s="120">
        <v>46</v>
      </c>
      <c r="D92" s="120" t="s">
        <v>1642</v>
      </c>
      <c r="E92" s="120" t="s">
        <v>1642</v>
      </c>
      <c r="F92" s="120" t="s">
        <v>1642</v>
      </c>
      <c r="G92" s="120" t="s">
        <v>1643</v>
      </c>
      <c r="H92" s="120" t="s">
        <v>1643</v>
      </c>
      <c r="I92" s="120" t="s">
        <v>1643</v>
      </c>
    </row>
    <row r="93" spans="1:9" ht="16.5" x14ac:dyDescent="0.35">
      <c r="A93" s="251" t="s">
        <v>1847</v>
      </c>
      <c r="B93" s="120">
        <v>3</v>
      </c>
      <c r="C93" s="120">
        <v>28</v>
      </c>
      <c r="D93" s="120" t="s">
        <v>1643</v>
      </c>
      <c r="E93" s="120" t="s">
        <v>1642</v>
      </c>
      <c r="F93" s="120" t="s">
        <v>1642</v>
      </c>
      <c r="G93" s="120" t="s">
        <v>1643</v>
      </c>
      <c r="H93" s="120" t="s">
        <v>1642</v>
      </c>
      <c r="I93" s="120" t="s">
        <v>1643</v>
      </c>
    </row>
    <row r="94" spans="1:9" ht="16.5" x14ac:dyDescent="0.35">
      <c r="A94" s="251" t="s">
        <v>1848</v>
      </c>
      <c r="B94" s="120">
        <v>3</v>
      </c>
      <c r="C94" s="120">
        <v>12</v>
      </c>
      <c r="D94" s="120" t="s">
        <v>1642</v>
      </c>
      <c r="E94" s="120" t="s">
        <v>1643</v>
      </c>
      <c r="F94" s="120" t="s">
        <v>1642</v>
      </c>
      <c r="G94" s="120" t="s">
        <v>1642</v>
      </c>
      <c r="H94" s="120" t="s">
        <v>1643</v>
      </c>
      <c r="I94" s="120" t="s">
        <v>1643</v>
      </c>
    </row>
    <row r="95" spans="1:9" ht="16.5" x14ac:dyDescent="0.35">
      <c r="A95" s="251" t="s">
        <v>1849</v>
      </c>
      <c r="B95" s="120">
        <v>3</v>
      </c>
      <c r="C95" s="120">
        <v>78</v>
      </c>
      <c r="D95" s="120" t="s">
        <v>1643</v>
      </c>
      <c r="E95" s="120" t="s">
        <v>1642</v>
      </c>
      <c r="F95" s="120" t="s">
        <v>1643</v>
      </c>
      <c r="G95" s="120" t="s">
        <v>1642</v>
      </c>
      <c r="H95" s="120" t="s">
        <v>1642</v>
      </c>
      <c r="I95" s="120" t="s">
        <v>1643</v>
      </c>
    </row>
    <row r="96" spans="1:9" ht="16.5" x14ac:dyDescent="0.35">
      <c r="A96" s="251" t="s">
        <v>1850</v>
      </c>
      <c r="B96" s="120">
        <v>3</v>
      </c>
      <c r="C96" s="120">
        <v>21</v>
      </c>
      <c r="D96" s="120" t="s">
        <v>1642</v>
      </c>
      <c r="E96" s="120" t="s">
        <v>1643</v>
      </c>
      <c r="F96" s="120" t="s">
        <v>1642</v>
      </c>
      <c r="G96" s="120" t="s">
        <v>1642</v>
      </c>
      <c r="H96" s="120" t="s">
        <v>1643</v>
      </c>
      <c r="I96" s="120" t="s">
        <v>1643</v>
      </c>
    </row>
    <row r="97" spans="1:9" ht="16.5" x14ac:dyDescent="0.35">
      <c r="A97" s="251" t="s">
        <v>1851</v>
      </c>
      <c r="B97" s="120">
        <v>3</v>
      </c>
      <c r="C97" s="120">
        <v>40</v>
      </c>
      <c r="D97" s="120" t="s">
        <v>1643</v>
      </c>
      <c r="E97" s="120" t="s">
        <v>1642</v>
      </c>
      <c r="F97" s="120" t="s">
        <v>1642</v>
      </c>
      <c r="G97" s="120" t="s">
        <v>1643</v>
      </c>
      <c r="H97" s="120" t="s">
        <v>1642</v>
      </c>
      <c r="I97" s="120" t="s">
        <v>1643</v>
      </c>
    </row>
    <row r="98" spans="1:9" ht="16.5" x14ac:dyDescent="0.35">
      <c r="A98" s="251" t="s">
        <v>1852</v>
      </c>
      <c r="B98" s="120">
        <v>3</v>
      </c>
      <c r="C98" s="120">
        <v>30</v>
      </c>
      <c r="D98" s="120" t="s">
        <v>1643</v>
      </c>
      <c r="E98" s="120" t="s">
        <v>1642</v>
      </c>
      <c r="F98" s="120" t="s">
        <v>1642</v>
      </c>
      <c r="G98" s="120" t="s">
        <v>1643</v>
      </c>
      <c r="H98" s="120" t="s">
        <v>1643</v>
      </c>
      <c r="I98" s="120" t="s">
        <v>1642</v>
      </c>
    </row>
    <row r="99" spans="1:9" ht="16.5" x14ac:dyDescent="0.35">
      <c r="A99" s="251" t="s">
        <v>1853</v>
      </c>
      <c r="B99" s="120">
        <v>3</v>
      </c>
      <c r="C99" s="120">
        <v>18</v>
      </c>
      <c r="D99" s="120" t="s">
        <v>1643</v>
      </c>
      <c r="E99" s="120" t="s">
        <v>1642</v>
      </c>
      <c r="F99" s="120" t="s">
        <v>1643</v>
      </c>
      <c r="G99" s="120" t="s">
        <v>1642</v>
      </c>
      <c r="H99" s="120" t="s">
        <v>1642</v>
      </c>
      <c r="I99" s="120" t="s">
        <v>1643</v>
      </c>
    </row>
    <row r="100" spans="1:9" ht="16.5" x14ac:dyDescent="0.35">
      <c r="A100" s="251" t="s">
        <v>1854</v>
      </c>
      <c r="B100" s="120">
        <v>3</v>
      </c>
      <c r="C100" s="120">
        <v>8</v>
      </c>
      <c r="D100" s="120" t="s">
        <v>1643</v>
      </c>
      <c r="E100" s="120" t="s">
        <v>1642</v>
      </c>
      <c r="F100" s="120" t="s">
        <v>1643</v>
      </c>
      <c r="G100" s="120" t="s">
        <v>1643</v>
      </c>
      <c r="H100" s="120" t="s">
        <v>1642</v>
      </c>
      <c r="I100" s="120" t="s">
        <v>1642</v>
      </c>
    </row>
    <row r="101" spans="1:9" ht="16.5" x14ac:dyDescent="0.35">
      <c r="A101" s="251" t="s">
        <v>1855</v>
      </c>
      <c r="B101" s="120">
        <v>3</v>
      </c>
      <c r="C101" s="120">
        <v>46</v>
      </c>
      <c r="D101" s="120" t="s">
        <v>1642</v>
      </c>
      <c r="E101" s="120" t="s">
        <v>1642</v>
      </c>
      <c r="F101" s="120" t="s">
        <v>1643</v>
      </c>
      <c r="G101" s="120" t="s">
        <v>1643</v>
      </c>
      <c r="H101" s="120" t="s">
        <v>1642</v>
      </c>
      <c r="I101" s="120" t="s">
        <v>1643</v>
      </c>
    </row>
    <row r="102" spans="1:9" ht="16.5" x14ac:dyDescent="0.35">
      <c r="A102" s="251" t="s">
        <v>2572</v>
      </c>
      <c r="B102" s="120">
        <v>3</v>
      </c>
      <c r="C102" s="120">
        <v>25</v>
      </c>
      <c r="D102" s="120" t="s">
        <v>1643</v>
      </c>
      <c r="E102" s="120" t="s">
        <v>1642</v>
      </c>
      <c r="F102" s="120" t="s">
        <v>1642</v>
      </c>
      <c r="G102" s="120" t="s">
        <v>1643</v>
      </c>
      <c r="H102" s="120" t="s">
        <v>1642</v>
      </c>
      <c r="I102" s="120" t="s">
        <v>1643</v>
      </c>
    </row>
    <row r="103" spans="1:9" ht="16.5" x14ac:dyDescent="0.35">
      <c r="A103" s="251" t="s">
        <v>1856</v>
      </c>
      <c r="B103" s="120">
        <v>2</v>
      </c>
      <c r="C103" s="120">
        <v>58</v>
      </c>
      <c r="D103" s="120" t="s">
        <v>1642</v>
      </c>
      <c r="E103" s="120" t="s">
        <v>1642</v>
      </c>
      <c r="F103" s="120" t="s">
        <v>1643</v>
      </c>
      <c r="G103" s="120" t="s">
        <v>1643</v>
      </c>
      <c r="H103" s="120" t="s">
        <v>1643</v>
      </c>
      <c r="I103" s="120" t="s">
        <v>1643</v>
      </c>
    </row>
    <row r="104" spans="1:9" ht="16.5" x14ac:dyDescent="0.35">
      <c r="A104" s="251" t="s">
        <v>1857</v>
      </c>
      <c r="B104" s="120">
        <v>2</v>
      </c>
      <c r="C104" s="120">
        <v>50</v>
      </c>
      <c r="D104" s="120" t="s">
        <v>1643</v>
      </c>
      <c r="E104" s="120" t="s">
        <v>1642</v>
      </c>
      <c r="F104" s="120" t="s">
        <v>1643</v>
      </c>
      <c r="G104" s="120" t="s">
        <v>1643</v>
      </c>
      <c r="H104" s="120" t="s">
        <v>1642</v>
      </c>
      <c r="I104" s="120" t="s">
        <v>1643</v>
      </c>
    </row>
    <row r="105" spans="1:9" ht="16.5" x14ac:dyDescent="0.35">
      <c r="A105" s="251" t="s">
        <v>1858</v>
      </c>
      <c r="B105" s="120">
        <v>2</v>
      </c>
      <c r="C105" s="120">
        <v>73</v>
      </c>
      <c r="D105" s="120" t="s">
        <v>1643</v>
      </c>
      <c r="E105" s="120" t="s">
        <v>1642</v>
      </c>
      <c r="F105" s="120" t="s">
        <v>1643</v>
      </c>
      <c r="G105" s="120" t="s">
        <v>1643</v>
      </c>
      <c r="H105" s="120" t="s">
        <v>1642</v>
      </c>
      <c r="I105" s="120" t="s">
        <v>1643</v>
      </c>
    </row>
    <row r="106" spans="1:9" ht="16.5" x14ac:dyDescent="0.35">
      <c r="A106" s="251" t="s">
        <v>1859</v>
      </c>
      <c r="B106" s="120">
        <v>2</v>
      </c>
      <c r="C106" s="120">
        <v>39</v>
      </c>
      <c r="D106" s="120" t="s">
        <v>1643</v>
      </c>
      <c r="E106" s="120" t="s">
        <v>1642</v>
      </c>
      <c r="F106" s="120" t="s">
        <v>1643</v>
      </c>
      <c r="G106" s="120" t="s">
        <v>1642</v>
      </c>
      <c r="H106" s="120" t="s">
        <v>1643</v>
      </c>
      <c r="I106" s="120" t="s">
        <v>1643</v>
      </c>
    </row>
    <row r="107" spans="1:9" ht="16.5" x14ac:dyDescent="0.35">
      <c r="A107" s="251" t="s">
        <v>1860</v>
      </c>
      <c r="B107" s="120">
        <v>2</v>
      </c>
      <c r="C107" s="120">
        <v>60</v>
      </c>
      <c r="D107" s="120" t="s">
        <v>1643</v>
      </c>
      <c r="E107" s="120" t="s">
        <v>1643</v>
      </c>
      <c r="F107" s="120" t="s">
        <v>1643</v>
      </c>
      <c r="G107" s="120" t="s">
        <v>1643</v>
      </c>
      <c r="H107" s="120" t="s">
        <v>1642</v>
      </c>
      <c r="I107" s="120" t="s">
        <v>1642</v>
      </c>
    </row>
    <row r="108" spans="1:9" ht="16.5" x14ac:dyDescent="0.35">
      <c r="A108" s="251" t="s">
        <v>1861</v>
      </c>
      <c r="B108" s="120">
        <v>2</v>
      </c>
      <c r="C108" s="120">
        <v>26</v>
      </c>
      <c r="D108" s="120" t="s">
        <v>1643</v>
      </c>
      <c r="E108" s="120" t="s">
        <v>1642</v>
      </c>
      <c r="F108" s="120" t="s">
        <v>1643</v>
      </c>
      <c r="G108" s="120" t="s">
        <v>1643</v>
      </c>
      <c r="H108" s="120" t="s">
        <v>1642</v>
      </c>
      <c r="I108" s="120" t="s">
        <v>1643</v>
      </c>
    </row>
    <row r="109" spans="1:9" ht="16.5" x14ac:dyDescent="0.35">
      <c r="A109" s="251" t="s">
        <v>1862</v>
      </c>
      <c r="B109" s="120">
        <v>2</v>
      </c>
      <c r="C109" s="120">
        <v>21</v>
      </c>
      <c r="D109" s="120" t="s">
        <v>1643</v>
      </c>
      <c r="E109" s="120" t="s">
        <v>1642</v>
      </c>
      <c r="F109" s="120" t="s">
        <v>1643</v>
      </c>
      <c r="G109" s="120" t="s">
        <v>1642</v>
      </c>
      <c r="H109" s="120" t="s">
        <v>1643</v>
      </c>
      <c r="I109" s="120" t="s">
        <v>1643</v>
      </c>
    </row>
    <row r="110" spans="1:9" ht="16.5" x14ac:dyDescent="0.35">
      <c r="A110" s="251" t="s">
        <v>1863</v>
      </c>
      <c r="B110" s="120">
        <v>2</v>
      </c>
      <c r="C110" s="120">
        <v>25</v>
      </c>
      <c r="D110" s="120" t="s">
        <v>1643</v>
      </c>
      <c r="E110" s="120" t="s">
        <v>1642</v>
      </c>
      <c r="F110" s="120" t="s">
        <v>1643</v>
      </c>
      <c r="G110" s="120" t="s">
        <v>1643</v>
      </c>
      <c r="H110" s="120" t="s">
        <v>1642</v>
      </c>
      <c r="I110" s="120" t="s">
        <v>1643</v>
      </c>
    </row>
    <row r="111" spans="1:9" ht="16.5" x14ac:dyDescent="0.35">
      <c r="A111" s="251" t="s">
        <v>1864</v>
      </c>
      <c r="B111" s="120">
        <v>2</v>
      </c>
      <c r="C111" s="120">
        <v>15</v>
      </c>
      <c r="D111" s="120" t="s">
        <v>1643</v>
      </c>
      <c r="E111" s="120" t="s">
        <v>1642</v>
      </c>
      <c r="F111" s="120" t="s">
        <v>1643</v>
      </c>
      <c r="G111" s="120" t="s">
        <v>1643</v>
      </c>
      <c r="H111" s="120" t="s">
        <v>1642</v>
      </c>
      <c r="I111" s="120" t="s">
        <v>1643</v>
      </c>
    </row>
    <row r="112" spans="1:9" ht="16.5" x14ac:dyDescent="0.35">
      <c r="A112" s="251" t="s">
        <v>1865</v>
      </c>
      <c r="B112" s="120">
        <v>2</v>
      </c>
      <c r="C112" s="120">
        <v>81</v>
      </c>
      <c r="D112" s="120" t="s">
        <v>1643</v>
      </c>
      <c r="E112" s="120" t="s">
        <v>1642</v>
      </c>
      <c r="F112" s="120" t="s">
        <v>1643</v>
      </c>
      <c r="G112" s="120" t="s">
        <v>1643</v>
      </c>
      <c r="H112" s="120" t="s">
        <v>1642</v>
      </c>
      <c r="I112" s="120" t="s">
        <v>1643</v>
      </c>
    </row>
    <row r="113" spans="1:9" ht="16.5" x14ac:dyDescent="0.35">
      <c r="A113" s="251" t="s">
        <v>1866</v>
      </c>
      <c r="B113" s="120">
        <v>2</v>
      </c>
      <c r="C113" s="120">
        <v>17</v>
      </c>
      <c r="D113" s="120" t="s">
        <v>1642</v>
      </c>
      <c r="E113" s="120" t="s">
        <v>1642</v>
      </c>
      <c r="F113" s="120" t="s">
        <v>1643</v>
      </c>
      <c r="G113" s="120" t="s">
        <v>1643</v>
      </c>
      <c r="H113" s="120" t="s">
        <v>1643</v>
      </c>
      <c r="I113" s="120" t="s">
        <v>1643</v>
      </c>
    </row>
    <row r="114" spans="1:9" ht="16.5" x14ac:dyDescent="0.35">
      <c r="A114" s="251" t="s">
        <v>1867</v>
      </c>
      <c r="B114" s="120">
        <v>2</v>
      </c>
      <c r="C114" s="120">
        <v>57</v>
      </c>
      <c r="D114" s="120" t="s">
        <v>1643</v>
      </c>
      <c r="E114" s="120" t="s">
        <v>1642</v>
      </c>
      <c r="F114" s="120" t="s">
        <v>1643</v>
      </c>
      <c r="G114" s="120" t="s">
        <v>1643</v>
      </c>
      <c r="H114" s="120" t="s">
        <v>1642</v>
      </c>
      <c r="I114" s="120" t="s">
        <v>1643</v>
      </c>
    </row>
    <row r="115" spans="1:9" ht="16.5" x14ac:dyDescent="0.35">
      <c r="A115" s="251" t="s">
        <v>1868</v>
      </c>
      <c r="B115" s="120">
        <v>2</v>
      </c>
      <c r="C115" s="120">
        <v>17</v>
      </c>
      <c r="D115" s="120" t="s">
        <v>1643</v>
      </c>
      <c r="E115" s="120" t="s">
        <v>1642</v>
      </c>
      <c r="F115" s="120" t="s">
        <v>1643</v>
      </c>
      <c r="G115" s="120" t="s">
        <v>1643</v>
      </c>
      <c r="H115" s="120" t="s">
        <v>1642</v>
      </c>
      <c r="I115" s="120" t="s">
        <v>1643</v>
      </c>
    </row>
    <row r="116" spans="1:9" ht="16.5" x14ac:dyDescent="0.35">
      <c r="A116" s="251" t="s">
        <v>1869</v>
      </c>
      <c r="B116" s="120">
        <v>2</v>
      </c>
      <c r="C116" s="120">
        <v>23</v>
      </c>
      <c r="D116" s="120" t="s">
        <v>1643</v>
      </c>
      <c r="E116" s="120" t="s">
        <v>1642</v>
      </c>
      <c r="F116" s="120" t="s">
        <v>1643</v>
      </c>
      <c r="G116" s="120" t="s">
        <v>1643</v>
      </c>
      <c r="H116" s="120" t="s">
        <v>1642</v>
      </c>
      <c r="I116" s="120" t="s">
        <v>1643</v>
      </c>
    </row>
    <row r="117" spans="1:9" ht="16.5" x14ac:dyDescent="0.35">
      <c r="A117" s="251" t="s">
        <v>1870</v>
      </c>
      <c r="B117" s="120">
        <v>2</v>
      </c>
      <c r="C117" s="120">
        <v>2</v>
      </c>
      <c r="D117" s="120" t="s">
        <v>1643</v>
      </c>
      <c r="E117" s="120" t="s">
        <v>1642</v>
      </c>
      <c r="F117" s="120" t="s">
        <v>1643</v>
      </c>
      <c r="G117" s="120" t="s">
        <v>1643</v>
      </c>
      <c r="H117" s="120" t="s">
        <v>1642</v>
      </c>
      <c r="I117" s="120" t="s">
        <v>1643</v>
      </c>
    </row>
    <row r="118" spans="1:9" ht="16.5" x14ac:dyDescent="0.35">
      <c r="A118" s="251" t="s">
        <v>1871</v>
      </c>
      <c r="B118" s="120">
        <v>2</v>
      </c>
      <c r="C118" s="120">
        <v>7</v>
      </c>
      <c r="D118" s="120" t="s">
        <v>1643</v>
      </c>
      <c r="E118" s="120" t="s">
        <v>1642</v>
      </c>
      <c r="F118" s="120" t="s">
        <v>1643</v>
      </c>
      <c r="G118" s="120" t="s">
        <v>1643</v>
      </c>
      <c r="H118" s="120" t="s">
        <v>1642</v>
      </c>
      <c r="I118" s="120" t="s">
        <v>1643</v>
      </c>
    </row>
    <row r="119" spans="1:9" ht="16.5" x14ac:dyDescent="0.35">
      <c r="A119" s="251" t="s">
        <v>1872</v>
      </c>
      <c r="B119" s="120">
        <v>2</v>
      </c>
      <c r="C119" s="120">
        <v>60</v>
      </c>
      <c r="D119" s="120" t="s">
        <v>1642</v>
      </c>
      <c r="E119" s="120" t="s">
        <v>1642</v>
      </c>
      <c r="F119" s="120" t="s">
        <v>1643</v>
      </c>
      <c r="G119" s="120" t="s">
        <v>1643</v>
      </c>
      <c r="H119" s="120" t="s">
        <v>1643</v>
      </c>
      <c r="I119" s="120" t="s">
        <v>1643</v>
      </c>
    </row>
    <row r="120" spans="1:9" ht="16.5" x14ac:dyDescent="0.35">
      <c r="A120" s="251" t="s">
        <v>1873</v>
      </c>
      <c r="B120" s="120">
        <v>2</v>
      </c>
      <c r="C120" s="120">
        <v>91</v>
      </c>
      <c r="D120" s="120" t="s">
        <v>1643</v>
      </c>
      <c r="E120" s="120" t="s">
        <v>1642</v>
      </c>
      <c r="F120" s="120" t="s">
        <v>1643</v>
      </c>
      <c r="G120" s="120" t="s">
        <v>1643</v>
      </c>
      <c r="H120" s="120" t="s">
        <v>1642</v>
      </c>
      <c r="I120" s="120" t="s">
        <v>1643</v>
      </c>
    </row>
    <row r="121" spans="1:9" ht="16.5" x14ac:dyDescent="0.35">
      <c r="A121" s="251" t="s">
        <v>1874</v>
      </c>
      <c r="B121" s="120">
        <v>2</v>
      </c>
      <c r="C121" s="120">
        <v>66</v>
      </c>
      <c r="D121" s="120" t="s">
        <v>1643</v>
      </c>
      <c r="E121" s="120" t="s">
        <v>1642</v>
      </c>
      <c r="F121" s="120" t="s">
        <v>1643</v>
      </c>
      <c r="G121" s="120" t="s">
        <v>1643</v>
      </c>
      <c r="H121" s="120" t="s">
        <v>1642</v>
      </c>
      <c r="I121" s="120" t="s">
        <v>1643</v>
      </c>
    </row>
    <row r="122" spans="1:9" ht="16.5" x14ac:dyDescent="0.35">
      <c r="A122" s="251" t="s">
        <v>1875</v>
      </c>
      <c r="B122" s="120">
        <v>2</v>
      </c>
      <c r="C122" s="120">
        <v>9</v>
      </c>
      <c r="D122" s="120" t="s">
        <v>1643</v>
      </c>
      <c r="E122" s="120" t="s">
        <v>1642</v>
      </c>
      <c r="F122" s="120" t="s">
        <v>1643</v>
      </c>
      <c r="G122" s="120" t="s">
        <v>1643</v>
      </c>
      <c r="H122" s="120" t="s">
        <v>1642</v>
      </c>
      <c r="I122" s="120" t="s">
        <v>1643</v>
      </c>
    </row>
    <row r="123" spans="1:9" ht="16.5" x14ac:dyDescent="0.35">
      <c r="A123" s="251" t="s">
        <v>1876</v>
      </c>
      <c r="B123" s="120">
        <v>2</v>
      </c>
      <c r="C123" s="120">
        <v>92</v>
      </c>
      <c r="D123" s="120" t="s">
        <v>1643</v>
      </c>
      <c r="E123" s="120" t="s">
        <v>1642</v>
      </c>
      <c r="F123" s="120" t="s">
        <v>1643</v>
      </c>
      <c r="G123" s="120" t="s">
        <v>1643</v>
      </c>
      <c r="H123" s="120" t="s">
        <v>1642</v>
      </c>
      <c r="I123" s="120" t="s">
        <v>1643</v>
      </c>
    </row>
    <row r="124" spans="1:9" ht="16.5" x14ac:dyDescent="0.35">
      <c r="A124" s="251" t="s">
        <v>1877</v>
      </c>
      <c r="B124" s="120">
        <v>2</v>
      </c>
      <c r="C124" s="120">
        <v>86</v>
      </c>
      <c r="D124" s="120" t="s">
        <v>1643</v>
      </c>
      <c r="E124" s="120" t="s">
        <v>1642</v>
      </c>
      <c r="F124" s="120" t="s">
        <v>1643</v>
      </c>
      <c r="G124" s="120" t="s">
        <v>1643</v>
      </c>
      <c r="H124" s="120" t="s">
        <v>1642</v>
      </c>
      <c r="I124" s="120" t="s">
        <v>1643</v>
      </c>
    </row>
    <row r="125" spans="1:9" ht="16.5" x14ac:dyDescent="0.35">
      <c r="A125" s="251" t="s">
        <v>1878</v>
      </c>
      <c r="B125" s="120">
        <v>2</v>
      </c>
      <c r="C125" s="120">
        <v>72</v>
      </c>
      <c r="D125" s="120" t="s">
        <v>1643</v>
      </c>
      <c r="E125" s="120" t="s">
        <v>1642</v>
      </c>
      <c r="F125" s="120" t="s">
        <v>1643</v>
      </c>
      <c r="G125" s="120" t="s">
        <v>1643</v>
      </c>
      <c r="H125" s="120" t="s">
        <v>1642</v>
      </c>
      <c r="I125" s="120" t="s">
        <v>1643</v>
      </c>
    </row>
    <row r="126" spans="1:9" ht="16.5" x14ac:dyDescent="0.35">
      <c r="A126" s="251" t="s">
        <v>1879</v>
      </c>
      <c r="B126" s="120">
        <v>2</v>
      </c>
      <c r="C126" s="120">
        <v>71</v>
      </c>
      <c r="D126" s="120" t="s">
        <v>1643</v>
      </c>
      <c r="E126" s="120" t="s">
        <v>1642</v>
      </c>
      <c r="F126" s="120" t="s">
        <v>1643</v>
      </c>
      <c r="G126" s="120" t="s">
        <v>1643</v>
      </c>
      <c r="H126" s="120" t="s">
        <v>1642</v>
      </c>
      <c r="I126" s="120" t="s">
        <v>1643</v>
      </c>
    </row>
    <row r="127" spans="1:9" ht="16.5" x14ac:dyDescent="0.35">
      <c r="A127" s="251" t="s">
        <v>1880</v>
      </c>
      <c r="B127" s="120">
        <v>2</v>
      </c>
      <c r="C127" s="120">
        <v>64</v>
      </c>
      <c r="D127" s="120" t="s">
        <v>1643</v>
      </c>
      <c r="E127" s="120" t="s">
        <v>1642</v>
      </c>
      <c r="F127" s="120" t="s">
        <v>1642</v>
      </c>
      <c r="G127" s="120" t="s">
        <v>1643</v>
      </c>
      <c r="H127" s="120" t="s">
        <v>1643</v>
      </c>
      <c r="I127" s="120" t="s">
        <v>1643</v>
      </c>
    </row>
    <row r="128" spans="1:9" ht="16.5" x14ac:dyDescent="0.35">
      <c r="A128" s="251" t="s">
        <v>1881</v>
      </c>
      <c r="B128" s="120">
        <v>2</v>
      </c>
      <c r="C128" s="120">
        <v>84</v>
      </c>
      <c r="D128" s="120" t="s">
        <v>1643</v>
      </c>
      <c r="E128" s="120" t="s">
        <v>1642</v>
      </c>
      <c r="F128" s="120" t="s">
        <v>1643</v>
      </c>
      <c r="G128" s="120" t="s">
        <v>1643</v>
      </c>
      <c r="H128" s="120" t="s">
        <v>1642</v>
      </c>
      <c r="I128" s="120" t="s">
        <v>1643</v>
      </c>
    </row>
    <row r="129" spans="1:9" ht="16.5" x14ac:dyDescent="0.35">
      <c r="A129" s="251" t="s">
        <v>1882</v>
      </c>
      <c r="B129" s="120">
        <v>2</v>
      </c>
      <c r="C129" s="120">
        <v>79</v>
      </c>
      <c r="D129" s="120" t="s">
        <v>1643</v>
      </c>
      <c r="E129" s="120" t="s">
        <v>1642</v>
      </c>
      <c r="F129" s="120" t="s">
        <v>1642</v>
      </c>
      <c r="G129" s="120" t="s">
        <v>1643</v>
      </c>
      <c r="H129" s="120" t="s">
        <v>1643</v>
      </c>
      <c r="I129" s="120" t="s">
        <v>1643</v>
      </c>
    </row>
    <row r="130" spans="1:9" ht="16.5" x14ac:dyDescent="0.35">
      <c r="A130" s="251" t="s">
        <v>1883</v>
      </c>
      <c r="B130" s="120">
        <v>2</v>
      </c>
      <c r="C130" s="120">
        <v>2</v>
      </c>
      <c r="D130" s="120" t="s">
        <v>1643</v>
      </c>
      <c r="E130" s="120" t="s">
        <v>1642</v>
      </c>
      <c r="F130" s="120" t="s">
        <v>1643</v>
      </c>
      <c r="G130" s="120" t="s">
        <v>1643</v>
      </c>
      <c r="H130" s="120" t="s">
        <v>1642</v>
      </c>
      <c r="I130" s="120" t="s">
        <v>1643</v>
      </c>
    </row>
    <row r="131" spans="1:9" ht="16.5" x14ac:dyDescent="0.35">
      <c r="A131" s="251" t="s">
        <v>1884</v>
      </c>
      <c r="B131" s="120">
        <v>2</v>
      </c>
      <c r="C131" s="120">
        <v>2</v>
      </c>
      <c r="D131" s="120" t="s">
        <v>1643</v>
      </c>
      <c r="E131" s="120" t="s">
        <v>1642</v>
      </c>
      <c r="F131" s="120" t="s">
        <v>1643</v>
      </c>
      <c r="G131" s="120" t="s">
        <v>1643</v>
      </c>
      <c r="H131" s="120" t="s">
        <v>1642</v>
      </c>
      <c r="I131" s="120" t="s">
        <v>1643</v>
      </c>
    </row>
    <row r="132" spans="1:9" ht="16.5" x14ac:dyDescent="0.35">
      <c r="A132" s="251" t="s">
        <v>1885</v>
      </c>
      <c r="B132" s="120">
        <v>2</v>
      </c>
      <c r="C132" s="120">
        <v>69</v>
      </c>
      <c r="D132" s="120" t="s">
        <v>1643</v>
      </c>
      <c r="E132" s="120" t="s">
        <v>1642</v>
      </c>
      <c r="F132" s="120" t="s">
        <v>1643</v>
      </c>
      <c r="G132" s="120" t="s">
        <v>1643</v>
      </c>
      <c r="H132" s="120" t="s">
        <v>1642</v>
      </c>
      <c r="I132" s="120" t="s">
        <v>1643</v>
      </c>
    </row>
    <row r="133" spans="1:9" ht="16.5" x14ac:dyDescent="0.35">
      <c r="A133" s="251" t="s">
        <v>1886</v>
      </c>
      <c r="B133" s="120">
        <v>2</v>
      </c>
      <c r="C133" s="120">
        <v>79</v>
      </c>
      <c r="D133" s="120" t="s">
        <v>1642</v>
      </c>
      <c r="E133" s="120" t="s">
        <v>1642</v>
      </c>
      <c r="F133" s="120" t="s">
        <v>1643</v>
      </c>
      <c r="G133" s="120" t="s">
        <v>1643</v>
      </c>
      <c r="H133" s="120" t="s">
        <v>1643</v>
      </c>
      <c r="I133" s="120" t="s">
        <v>1643</v>
      </c>
    </row>
    <row r="134" spans="1:9" ht="16.5" x14ac:dyDescent="0.35">
      <c r="A134" s="251" t="s">
        <v>1887</v>
      </c>
      <c r="B134" s="120">
        <v>2</v>
      </c>
      <c r="C134" s="120">
        <v>78</v>
      </c>
      <c r="D134" s="120" t="s">
        <v>1642</v>
      </c>
      <c r="E134" s="120" t="s">
        <v>1642</v>
      </c>
      <c r="F134" s="120" t="s">
        <v>1643</v>
      </c>
      <c r="G134" s="120" t="s">
        <v>1643</v>
      </c>
      <c r="H134" s="120" t="s">
        <v>1643</v>
      </c>
      <c r="I134" s="120" t="s">
        <v>1643</v>
      </c>
    </row>
    <row r="135" spans="1:9" ht="16.5" x14ac:dyDescent="0.35">
      <c r="A135" s="251" t="s">
        <v>1888</v>
      </c>
      <c r="B135" s="120">
        <v>2</v>
      </c>
      <c r="C135" s="120">
        <v>55</v>
      </c>
      <c r="D135" s="120" t="s">
        <v>1643</v>
      </c>
      <c r="E135" s="120" t="s">
        <v>1642</v>
      </c>
      <c r="F135" s="120" t="s">
        <v>1643</v>
      </c>
      <c r="G135" s="120" t="s">
        <v>1643</v>
      </c>
      <c r="H135" s="120" t="s">
        <v>1642</v>
      </c>
      <c r="I135" s="120" t="s">
        <v>1643</v>
      </c>
    </row>
    <row r="136" spans="1:9" ht="16.5" x14ac:dyDescent="0.35">
      <c r="A136" s="251" t="s">
        <v>1889</v>
      </c>
      <c r="B136" s="120">
        <v>2</v>
      </c>
      <c r="C136" s="120">
        <v>30</v>
      </c>
      <c r="D136" s="120" t="s">
        <v>1643</v>
      </c>
      <c r="E136" s="120" t="s">
        <v>1642</v>
      </c>
      <c r="F136" s="120" t="s">
        <v>1643</v>
      </c>
      <c r="G136" s="120" t="s">
        <v>1643</v>
      </c>
      <c r="H136" s="120" t="s">
        <v>1642</v>
      </c>
      <c r="I136" s="120" t="s">
        <v>1643</v>
      </c>
    </row>
    <row r="137" spans="1:9" ht="16.5" x14ac:dyDescent="0.35">
      <c r="A137" s="251" t="s">
        <v>1890</v>
      </c>
      <c r="B137" s="120">
        <v>2</v>
      </c>
      <c r="C137" s="120">
        <v>4</v>
      </c>
      <c r="D137" s="120" t="s">
        <v>1643</v>
      </c>
      <c r="E137" s="120" t="s">
        <v>1642</v>
      </c>
      <c r="F137" s="120" t="s">
        <v>1643</v>
      </c>
      <c r="G137" s="120" t="s">
        <v>1643</v>
      </c>
      <c r="H137" s="120" t="s">
        <v>1642</v>
      </c>
      <c r="I137" s="120" t="s">
        <v>1643</v>
      </c>
    </row>
    <row r="138" spans="1:9" ht="16.5" x14ac:dyDescent="0.35">
      <c r="A138" s="251" t="s">
        <v>1891</v>
      </c>
      <c r="B138" s="120">
        <v>2</v>
      </c>
      <c r="C138" s="120">
        <v>15</v>
      </c>
      <c r="D138" s="120" t="s">
        <v>1643</v>
      </c>
      <c r="E138" s="120" t="s">
        <v>1642</v>
      </c>
      <c r="F138" s="120" t="s">
        <v>1643</v>
      </c>
      <c r="G138" s="120" t="s">
        <v>1643</v>
      </c>
      <c r="H138" s="120" t="s">
        <v>1642</v>
      </c>
      <c r="I138" s="120" t="s">
        <v>1643</v>
      </c>
    </row>
    <row r="139" spans="1:9" ht="16.5" x14ac:dyDescent="0.35">
      <c r="A139" s="251" t="s">
        <v>1892</v>
      </c>
      <c r="B139" s="120">
        <v>2</v>
      </c>
      <c r="C139" s="120">
        <v>19</v>
      </c>
      <c r="D139" s="120" t="s">
        <v>1643</v>
      </c>
      <c r="E139" s="120" t="s">
        <v>1642</v>
      </c>
      <c r="F139" s="120" t="s">
        <v>1643</v>
      </c>
      <c r="G139" s="120" t="s">
        <v>1643</v>
      </c>
      <c r="H139" s="120" t="s">
        <v>1642</v>
      </c>
      <c r="I139" s="120" t="s">
        <v>1643</v>
      </c>
    </row>
    <row r="140" spans="1:9" ht="16.5" x14ac:dyDescent="0.35">
      <c r="A140" s="251" t="s">
        <v>1893</v>
      </c>
      <c r="B140" s="120">
        <v>2</v>
      </c>
      <c r="C140" s="120">
        <v>42</v>
      </c>
      <c r="D140" s="120" t="s">
        <v>1643</v>
      </c>
      <c r="E140" s="120" t="s">
        <v>1642</v>
      </c>
      <c r="F140" s="120" t="s">
        <v>1643</v>
      </c>
      <c r="G140" s="120" t="s">
        <v>1643</v>
      </c>
      <c r="H140" s="120" t="s">
        <v>1642</v>
      </c>
      <c r="I140" s="120" t="s">
        <v>1643</v>
      </c>
    </row>
    <row r="141" spans="1:9" ht="16.5" x14ac:dyDescent="0.35">
      <c r="A141" s="251" t="s">
        <v>1894</v>
      </c>
      <c r="B141" s="120">
        <v>2</v>
      </c>
      <c r="C141" s="120">
        <v>47</v>
      </c>
      <c r="D141" s="120" t="s">
        <v>1643</v>
      </c>
      <c r="E141" s="120" t="s">
        <v>1642</v>
      </c>
      <c r="F141" s="120" t="s">
        <v>1642</v>
      </c>
      <c r="G141" s="120" t="s">
        <v>1643</v>
      </c>
      <c r="H141" s="120" t="s">
        <v>1643</v>
      </c>
      <c r="I141" s="120" t="s">
        <v>1643</v>
      </c>
    </row>
    <row r="142" spans="1:9" ht="16.5" x14ac:dyDescent="0.35">
      <c r="A142" s="251" t="s">
        <v>1895</v>
      </c>
      <c r="B142" s="120">
        <v>2</v>
      </c>
      <c r="C142" s="120">
        <v>12</v>
      </c>
      <c r="D142" s="120" t="s">
        <v>1643</v>
      </c>
      <c r="E142" s="120" t="s">
        <v>1642</v>
      </c>
      <c r="F142" s="120" t="s">
        <v>1643</v>
      </c>
      <c r="G142" s="120" t="s">
        <v>1642</v>
      </c>
      <c r="H142" s="120" t="s">
        <v>1643</v>
      </c>
      <c r="I142" s="120" t="s">
        <v>1643</v>
      </c>
    </row>
    <row r="143" spans="1:9" ht="16.5" x14ac:dyDescent="0.35">
      <c r="A143" s="251" t="s">
        <v>1896</v>
      </c>
      <c r="B143" s="120">
        <v>2</v>
      </c>
      <c r="C143" s="120">
        <v>87</v>
      </c>
      <c r="D143" s="120" t="s">
        <v>1643</v>
      </c>
      <c r="E143" s="120" t="s">
        <v>1642</v>
      </c>
      <c r="F143" s="120" t="s">
        <v>1643</v>
      </c>
      <c r="G143" s="120" t="s">
        <v>1643</v>
      </c>
      <c r="H143" s="120" t="s">
        <v>1642</v>
      </c>
      <c r="I143" s="120" t="s">
        <v>1643</v>
      </c>
    </row>
    <row r="144" spans="1:9" ht="16.5" x14ac:dyDescent="0.35">
      <c r="A144" s="251" t="s">
        <v>1897</v>
      </c>
      <c r="B144" s="120">
        <v>2</v>
      </c>
      <c r="C144" s="120">
        <v>77</v>
      </c>
      <c r="D144" s="120" t="s">
        <v>1642</v>
      </c>
      <c r="E144" s="120" t="s">
        <v>1642</v>
      </c>
      <c r="F144" s="120" t="s">
        <v>1643</v>
      </c>
      <c r="G144" s="120" t="s">
        <v>1643</v>
      </c>
      <c r="H144" s="120" t="s">
        <v>1643</v>
      </c>
      <c r="I144" s="120" t="s">
        <v>1643</v>
      </c>
    </row>
    <row r="145" spans="1:9" ht="16.5" x14ac:dyDescent="0.35">
      <c r="A145" s="251" t="s">
        <v>1898</v>
      </c>
      <c r="B145" s="120">
        <v>2</v>
      </c>
      <c r="C145" s="120">
        <v>91</v>
      </c>
      <c r="D145" s="120" t="s">
        <v>1643</v>
      </c>
      <c r="E145" s="120" t="s">
        <v>1642</v>
      </c>
      <c r="F145" s="120" t="s">
        <v>1643</v>
      </c>
      <c r="G145" s="120" t="s">
        <v>1643</v>
      </c>
      <c r="H145" s="120" t="s">
        <v>1642</v>
      </c>
      <c r="I145" s="120" t="s">
        <v>1643</v>
      </c>
    </row>
    <row r="146" spans="1:9" ht="16.5" x14ac:dyDescent="0.35">
      <c r="A146" s="251" t="s">
        <v>2549</v>
      </c>
      <c r="B146" s="120">
        <v>2</v>
      </c>
      <c r="C146" s="120">
        <v>75</v>
      </c>
      <c r="D146" s="120" t="s">
        <v>1643</v>
      </c>
      <c r="E146" s="120" t="s">
        <v>1642</v>
      </c>
      <c r="F146" s="120" t="s">
        <v>1643</v>
      </c>
      <c r="G146" s="120" t="s">
        <v>1643</v>
      </c>
      <c r="H146" s="120" t="s">
        <v>1642</v>
      </c>
      <c r="I146" s="120" t="s">
        <v>1643</v>
      </c>
    </row>
    <row r="147" spans="1:9" ht="16.5" x14ac:dyDescent="0.35">
      <c r="A147" s="251" t="s">
        <v>1899</v>
      </c>
      <c r="B147" s="120">
        <v>2</v>
      </c>
      <c r="C147" s="120">
        <v>69</v>
      </c>
      <c r="D147" s="120" t="s">
        <v>1642</v>
      </c>
      <c r="E147" s="120" t="s">
        <v>1642</v>
      </c>
      <c r="F147" s="120" t="s">
        <v>1643</v>
      </c>
      <c r="G147" s="120" t="s">
        <v>1643</v>
      </c>
      <c r="H147" s="120" t="s">
        <v>1643</v>
      </c>
      <c r="I147" s="120" t="s">
        <v>1643</v>
      </c>
    </row>
    <row r="148" spans="1:9" ht="16.5" x14ac:dyDescent="0.35">
      <c r="A148" s="251" t="s">
        <v>1900</v>
      </c>
      <c r="B148" s="120">
        <v>2</v>
      </c>
      <c r="C148" s="120">
        <v>43</v>
      </c>
      <c r="D148" s="120" t="s">
        <v>1643</v>
      </c>
      <c r="E148" s="120" t="s">
        <v>1642</v>
      </c>
      <c r="F148" s="120" t="s">
        <v>1643</v>
      </c>
      <c r="G148" s="120" t="s">
        <v>1643</v>
      </c>
      <c r="H148" s="120" t="s">
        <v>1642</v>
      </c>
      <c r="I148" s="120" t="s">
        <v>1643</v>
      </c>
    </row>
    <row r="149" spans="1:9" ht="16.5" x14ac:dyDescent="0.35">
      <c r="A149" s="251" t="s">
        <v>1901</v>
      </c>
      <c r="B149" s="120">
        <v>2</v>
      </c>
      <c r="C149" s="120">
        <v>91</v>
      </c>
      <c r="D149" s="120" t="s">
        <v>1643</v>
      </c>
      <c r="E149" s="120" t="s">
        <v>1642</v>
      </c>
      <c r="F149" s="120" t="s">
        <v>1643</v>
      </c>
      <c r="G149" s="120" t="s">
        <v>1643</v>
      </c>
      <c r="H149" s="120" t="s">
        <v>1642</v>
      </c>
      <c r="I149" s="120" t="s">
        <v>1643</v>
      </c>
    </row>
    <row r="150" spans="1:9" ht="16.5" x14ac:dyDescent="0.35">
      <c r="A150" s="251" t="s">
        <v>1902</v>
      </c>
      <c r="B150" s="120">
        <v>2</v>
      </c>
      <c r="C150" s="120">
        <v>43</v>
      </c>
      <c r="D150" s="120" t="s">
        <v>1643</v>
      </c>
      <c r="E150" s="120" t="s">
        <v>1642</v>
      </c>
      <c r="F150" s="120" t="s">
        <v>1643</v>
      </c>
      <c r="G150" s="120" t="s">
        <v>1643</v>
      </c>
      <c r="H150" s="120" t="s">
        <v>1642</v>
      </c>
      <c r="I150" s="120" t="s">
        <v>1643</v>
      </c>
    </row>
    <row r="151" spans="1:9" ht="16.5" x14ac:dyDescent="0.35">
      <c r="A151" s="251" t="s">
        <v>2573</v>
      </c>
      <c r="B151" s="120">
        <v>2</v>
      </c>
      <c r="C151" s="120">
        <v>3</v>
      </c>
      <c r="D151" s="120" t="s">
        <v>1643</v>
      </c>
      <c r="E151" s="120" t="s">
        <v>1642</v>
      </c>
      <c r="F151" s="120" t="s">
        <v>1643</v>
      </c>
      <c r="G151" s="120" t="s">
        <v>1643</v>
      </c>
      <c r="H151" s="120" t="s">
        <v>1642</v>
      </c>
      <c r="I151" s="120" t="s">
        <v>1643</v>
      </c>
    </row>
    <row r="152" spans="1:9" ht="16.5" x14ac:dyDescent="0.35">
      <c r="A152" s="251" t="s">
        <v>1903</v>
      </c>
      <c r="B152" s="120">
        <v>2</v>
      </c>
      <c r="C152" s="120">
        <v>18</v>
      </c>
      <c r="D152" s="120" t="s">
        <v>1643</v>
      </c>
      <c r="E152" s="120" t="s">
        <v>1642</v>
      </c>
      <c r="F152" s="120" t="s">
        <v>1643</v>
      </c>
      <c r="G152" s="120" t="s">
        <v>1643</v>
      </c>
      <c r="H152" s="120" t="s">
        <v>1642</v>
      </c>
      <c r="I152" s="120" t="s">
        <v>1643</v>
      </c>
    </row>
    <row r="153" spans="1:9" ht="16.5" x14ac:dyDescent="0.35">
      <c r="A153" s="251" t="s">
        <v>1904</v>
      </c>
      <c r="B153" s="120">
        <v>2</v>
      </c>
      <c r="C153" s="120">
        <v>90</v>
      </c>
      <c r="D153" s="120" t="s">
        <v>1643</v>
      </c>
      <c r="E153" s="120" t="s">
        <v>1642</v>
      </c>
      <c r="F153" s="120" t="s">
        <v>1643</v>
      </c>
      <c r="G153" s="120" t="s">
        <v>1643</v>
      </c>
      <c r="H153" s="120" t="s">
        <v>1642</v>
      </c>
      <c r="I153" s="120" t="s">
        <v>1643</v>
      </c>
    </row>
    <row r="154" spans="1:9" ht="16.5" x14ac:dyDescent="0.35">
      <c r="A154" s="251" t="s">
        <v>1905</v>
      </c>
      <c r="B154" s="120">
        <v>2</v>
      </c>
      <c r="C154" s="120">
        <v>51</v>
      </c>
      <c r="D154" s="120" t="s">
        <v>1643</v>
      </c>
      <c r="E154" s="120" t="s">
        <v>1642</v>
      </c>
      <c r="F154" s="120" t="s">
        <v>1643</v>
      </c>
      <c r="G154" s="120" t="s">
        <v>1643</v>
      </c>
      <c r="H154" s="120" t="s">
        <v>1642</v>
      </c>
      <c r="I154" s="120" t="s">
        <v>1643</v>
      </c>
    </row>
    <row r="155" spans="1:9" ht="16.5" x14ac:dyDescent="0.35">
      <c r="A155" s="251" t="s">
        <v>1906</v>
      </c>
      <c r="B155" s="120">
        <v>2</v>
      </c>
      <c r="C155" s="120">
        <v>5</v>
      </c>
      <c r="D155" s="120" t="s">
        <v>1643</v>
      </c>
      <c r="E155" s="120" t="s">
        <v>1642</v>
      </c>
      <c r="F155" s="120" t="s">
        <v>1643</v>
      </c>
      <c r="G155" s="120" t="s">
        <v>1643</v>
      </c>
      <c r="H155" s="120" t="s">
        <v>1642</v>
      </c>
      <c r="I155" s="120" t="s">
        <v>1643</v>
      </c>
    </row>
    <row r="156" spans="1:9" ht="16.5" x14ac:dyDescent="0.35">
      <c r="A156" s="251" t="s">
        <v>1907</v>
      </c>
      <c r="B156" s="120">
        <v>2</v>
      </c>
      <c r="C156" s="120">
        <v>46</v>
      </c>
      <c r="D156" s="120" t="s">
        <v>1643</v>
      </c>
      <c r="E156" s="120" t="s">
        <v>1642</v>
      </c>
      <c r="F156" s="120" t="s">
        <v>1643</v>
      </c>
      <c r="G156" s="120" t="s">
        <v>1643</v>
      </c>
      <c r="H156" s="120" t="s">
        <v>1642</v>
      </c>
      <c r="I156" s="120" t="s">
        <v>1643</v>
      </c>
    </row>
    <row r="157" spans="1:9" ht="16.5" x14ac:dyDescent="0.35">
      <c r="A157" s="251" t="s">
        <v>1908</v>
      </c>
      <c r="B157" s="120">
        <v>2</v>
      </c>
      <c r="C157" s="120">
        <v>48</v>
      </c>
      <c r="D157" s="120" t="s">
        <v>1643</v>
      </c>
      <c r="E157" s="120" t="s">
        <v>1642</v>
      </c>
      <c r="F157" s="120" t="s">
        <v>1643</v>
      </c>
      <c r="G157" s="120" t="s">
        <v>1643</v>
      </c>
      <c r="H157" s="120" t="s">
        <v>1642</v>
      </c>
      <c r="I157" s="120" t="s">
        <v>1643</v>
      </c>
    </row>
    <row r="158" spans="1:9" ht="16.5" x14ac:dyDescent="0.35">
      <c r="A158" s="251" t="s">
        <v>1909</v>
      </c>
      <c r="B158" s="120">
        <v>2</v>
      </c>
      <c r="C158" s="120">
        <v>8</v>
      </c>
      <c r="D158" s="120" t="s">
        <v>1643</v>
      </c>
      <c r="E158" s="120" t="s">
        <v>1642</v>
      </c>
      <c r="F158" s="120" t="s">
        <v>1643</v>
      </c>
      <c r="G158" s="120" t="s">
        <v>1643</v>
      </c>
      <c r="H158" s="120" t="s">
        <v>1642</v>
      </c>
      <c r="I158" s="120" t="s">
        <v>1643</v>
      </c>
    </row>
    <row r="159" spans="1:9" ht="16.5" x14ac:dyDescent="0.35">
      <c r="A159" s="251" t="s">
        <v>1910</v>
      </c>
      <c r="B159" s="120">
        <v>2</v>
      </c>
      <c r="C159" s="120">
        <v>11</v>
      </c>
      <c r="D159" s="120" t="s">
        <v>1643</v>
      </c>
      <c r="E159" s="120" t="s">
        <v>1642</v>
      </c>
      <c r="F159" s="120" t="s">
        <v>1643</v>
      </c>
      <c r="G159" s="120" t="s">
        <v>1643</v>
      </c>
      <c r="H159" s="120" t="s">
        <v>1642</v>
      </c>
      <c r="I159" s="120" t="s">
        <v>1643</v>
      </c>
    </row>
    <row r="160" spans="1:9" ht="16.5" x14ac:dyDescent="0.35">
      <c r="A160" s="251" t="s">
        <v>1911</v>
      </c>
      <c r="B160" s="120">
        <v>2</v>
      </c>
      <c r="C160" s="120">
        <v>91</v>
      </c>
      <c r="D160" s="120" t="s">
        <v>1643</v>
      </c>
      <c r="E160" s="120" t="s">
        <v>1642</v>
      </c>
      <c r="F160" s="120" t="s">
        <v>1643</v>
      </c>
      <c r="G160" s="120" t="s">
        <v>1643</v>
      </c>
      <c r="H160" s="120" t="s">
        <v>1642</v>
      </c>
      <c r="I160" s="120" t="s">
        <v>1643</v>
      </c>
    </row>
    <row r="161" spans="1:9" ht="16.5" x14ac:dyDescent="0.35">
      <c r="A161" s="251" t="s">
        <v>1912</v>
      </c>
      <c r="B161" s="120">
        <v>2</v>
      </c>
      <c r="C161" s="120">
        <v>35</v>
      </c>
      <c r="D161" s="120" t="s">
        <v>1643</v>
      </c>
      <c r="E161" s="120" t="s">
        <v>1642</v>
      </c>
      <c r="F161" s="120" t="s">
        <v>1643</v>
      </c>
      <c r="G161" s="120" t="s">
        <v>1643</v>
      </c>
      <c r="H161" s="120" t="s">
        <v>1642</v>
      </c>
      <c r="I161" s="120" t="s">
        <v>1643</v>
      </c>
    </row>
    <row r="162" spans="1:9" ht="16.5" x14ac:dyDescent="0.35">
      <c r="A162" s="251" t="s">
        <v>1913</v>
      </c>
      <c r="B162" s="120">
        <v>2</v>
      </c>
      <c r="C162" s="120">
        <v>36</v>
      </c>
      <c r="D162" s="120" t="s">
        <v>1643</v>
      </c>
      <c r="E162" s="120" t="s">
        <v>1642</v>
      </c>
      <c r="F162" s="120" t="s">
        <v>1643</v>
      </c>
      <c r="G162" s="120" t="s">
        <v>1643</v>
      </c>
      <c r="H162" s="120" t="s">
        <v>1642</v>
      </c>
      <c r="I162" s="120" t="s">
        <v>1643</v>
      </c>
    </row>
    <row r="163" spans="1:9" ht="16.5" x14ac:dyDescent="0.35">
      <c r="A163" s="251" t="s">
        <v>1914</v>
      </c>
      <c r="B163" s="120">
        <v>2</v>
      </c>
      <c r="C163" s="120">
        <v>87</v>
      </c>
      <c r="D163" s="120" t="s">
        <v>1643</v>
      </c>
      <c r="E163" s="120" t="s">
        <v>1642</v>
      </c>
      <c r="F163" s="120" t="s">
        <v>1643</v>
      </c>
      <c r="G163" s="120" t="s">
        <v>1643</v>
      </c>
      <c r="H163" s="120" t="s">
        <v>1642</v>
      </c>
      <c r="I163" s="120" t="s">
        <v>1643</v>
      </c>
    </row>
    <row r="164" spans="1:9" ht="16.5" x14ac:dyDescent="0.35">
      <c r="A164" s="251" t="s">
        <v>1915</v>
      </c>
      <c r="B164" s="120">
        <v>2</v>
      </c>
      <c r="C164" s="120">
        <v>70</v>
      </c>
      <c r="D164" s="120" t="s">
        <v>1643</v>
      </c>
      <c r="E164" s="120" t="s">
        <v>1642</v>
      </c>
      <c r="F164" s="120" t="s">
        <v>1643</v>
      </c>
      <c r="G164" s="120" t="s">
        <v>1643</v>
      </c>
      <c r="H164" s="120" t="s">
        <v>1642</v>
      </c>
      <c r="I164" s="120" t="s">
        <v>1643</v>
      </c>
    </row>
    <row r="165" spans="1:9" ht="16.5" x14ac:dyDescent="0.35">
      <c r="A165" s="251" t="s">
        <v>1916</v>
      </c>
      <c r="B165" s="120">
        <v>2</v>
      </c>
      <c r="C165" s="120">
        <v>31</v>
      </c>
      <c r="D165" s="120" t="s">
        <v>1642</v>
      </c>
      <c r="E165" s="120" t="s">
        <v>1643</v>
      </c>
      <c r="F165" s="120" t="s">
        <v>1643</v>
      </c>
      <c r="G165" s="120" t="s">
        <v>1643</v>
      </c>
      <c r="H165" s="120" t="s">
        <v>1642</v>
      </c>
      <c r="I165" s="120" t="s">
        <v>1643</v>
      </c>
    </row>
    <row r="166" spans="1:9" ht="16.5" x14ac:dyDescent="0.35">
      <c r="A166" s="251" t="s">
        <v>1917</v>
      </c>
      <c r="B166" s="120">
        <v>2</v>
      </c>
      <c r="C166" s="120">
        <v>26</v>
      </c>
      <c r="D166" s="120" t="s">
        <v>1643</v>
      </c>
      <c r="E166" s="120" t="s">
        <v>1642</v>
      </c>
      <c r="F166" s="120" t="s">
        <v>1643</v>
      </c>
      <c r="G166" s="120" t="s">
        <v>1642</v>
      </c>
      <c r="H166" s="120" t="s">
        <v>1643</v>
      </c>
      <c r="I166" s="120" t="s">
        <v>1643</v>
      </c>
    </row>
    <row r="167" spans="1:9" ht="16.5" x14ac:dyDescent="0.35">
      <c r="A167" s="251" t="s">
        <v>1918</v>
      </c>
      <c r="B167" s="120">
        <v>2</v>
      </c>
      <c r="C167" s="120">
        <v>26</v>
      </c>
      <c r="D167" s="120" t="s">
        <v>1643</v>
      </c>
      <c r="E167" s="120" t="s">
        <v>1643</v>
      </c>
      <c r="F167" s="120" t="s">
        <v>1642</v>
      </c>
      <c r="G167" s="120" t="s">
        <v>1642</v>
      </c>
      <c r="H167" s="120" t="s">
        <v>1643</v>
      </c>
      <c r="I167" s="120" t="s">
        <v>1643</v>
      </c>
    </row>
    <row r="168" spans="1:9" ht="16.5" x14ac:dyDescent="0.35">
      <c r="A168" s="251" t="s">
        <v>1919</v>
      </c>
      <c r="B168" s="120">
        <v>2</v>
      </c>
      <c r="C168" s="120">
        <v>25</v>
      </c>
      <c r="D168" s="120" t="s">
        <v>1643</v>
      </c>
      <c r="E168" s="120" t="s">
        <v>1642</v>
      </c>
      <c r="F168" s="120" t="s">
        <v>1643</v>
      </c>
      <c r="G168" s="120" t="s">
        <v>1642</v>
      </c>
      <c r="H168" s="120" t="s">
        <v>1643</v>
      </c>
      <c r="I168" s="120" t="s">
        <v>1643</v>
      </c>
    </row>
    <row r="169" spans="1:9" ht="16.5" x14ac:dyDescent="0.35">
      <c r="A169" s="251" t="s">
        <v>1920</v>
      </c>
      <c r="B169" s="120">
        <v>2</v>
      </c>
      <c r="C169" s="120">
        <v>3</v>
      </c>
      <c r="D169" s="120" t="s">
        <v>1643</v>
      </c>
      <c r="E169" s="120" t="s">
        <v>1642</v>
      </c>
      <c r="F169" s="120" t="s">
        <v>1643</v>
      </c>
      <c r="G169" s="120" t="s">
        <v>1643</v>
      </c>
      <c r="H169" s="120" t="s">
        <v>1642</v>
      </c>
      <c r="I169" s="120" t="s">
        <v>1643</v>
      </c>
    </row>
    <row r="170" spans="1:9" ht="16.5" x14ac:dyDescent="0.35">
      <c r="A170" s="251" t="s">
        <v>1921</v>
      </c>
      <c r="B170" s="120">
        <v>2</v>
      </c>
      <c r="C170" s="120">
        <v>39</v>
      </c>
      <c r="D170" s="120" t="s">
        <v>1643</v>
      </c>
      <c r="E170" s="120" t="s">
        <v>1642</v>
      </c>
      <c r="F170" s="120" t="s">
        <v>1643</v>
      </c>
      <c r="G170" s="120" t="s">
        <v>1643</v>
      </c>
      <c r="H170" s="120" t="s">
        <v>1642</v>
      </c>
      <c r="I170" s="120" t="s">
        <v>1643</v>
      </c>
    </row>
    <row r="171" spans="1:9" ht="16.5" x14ac:dyDescent="0.35">
      <c r="A171" s="251" t="s">
        <v>1922</v>
      </c>
      <c r="B171" s="120">
        <v>2</v>
      </c>
      <c r="C171" s="120">
        <v>18</v>
      </c>
      <c r="D171" s="120" t="s">
        <v>1643</v>
      </c>
      <c r="E171" s="120" t="s">
        <v>1643</v>
      </c>
      <c r="F171" s="120" t="s">
        <v>1642</v>
      </c>
      <c r="G171" s="120" t="s">
        <v>1643</v>
      </c>
      <c r="H171" s="120" t="s">
        <v>1642</v>
      </c>
      <c r="I171" s="120" t="s">
        <v>1643</v>
      </c>
    </row>
    <row r="172" spans="1:9" ht="16.5" x14ac:dyDescent="0.35">
      <c r="A172" s="251" t="s">
        <v>1923</v>
      </c>
      <c r="B172" s="120">
        <v>2</v>
      </c>
      <c r="C172" s="120">
        <v>26</v>
      </c>
      <c r="D172" s="120" t="s">
        <v>1643</v>
      </c>
      <c r="E172" s="120" t="s">
        <v>1642</v>
      </c>
      <c r="F172" s="120" t="s">
        <v>1643</v>
      </c>
      <c r="G172" s="120" t="s">
        <v>1643</v>
      </c>
      <c r="H172" s="120" t="s">
        <v>1642</v>
      </c>
      <c r="I172" s="120" t="s">
        <v>1643</v>
      </c>
    </row>
    <row r="173" spans="1:9" ht="16.5" x14ac:dyDescent="0.35">
      <c r="A173" s="251" t="s">
        <v>1924</v>
      </c>
      <c r="B173" s="120">
        <v>2</v>
      </c>
      <c r="C173" s="120">
        <v>37</v>
      </c>
      <c r="D173" s="120" t="s">
        <v>1643</v>
      </c>
      <c r="E173" s="120" t="s">
        <v>1642</v>
      </c>
      <c r="F173" s="120" t="s">
        <v>1643</v>
      </c>
      <c r="G173" s="120" t="s">
        <v>1643</v>
      </c>
      <c r="H173" s="120" t="s">
        <v>1642</v>
      </c>
      <c r="I173" s="120" t="s">
        <v>1643</v>
      </c>
    </row>
    <row r="174" spans="1:9" ht="16.5" x14ac:dyDescent="0.35">
      <c r="A174" s="251" t="s">
        <v>1925</v>
      </c>
      <c r="B174" s="120">
        <v>2</v>
      </c>
      <c r="C174" s="120">
        <v>60</v>
      </c>
      <c r="D174" s="120" t="s">
        <v>1642</v>
      </c>
      <c r="E174" s="120" t="s">
        <v>1642</v>
      </c>
      <c r="F174" s="120" t="s">
        <v>1643</v>
      </c>
      <c r="G174" s="120" t="s">
        <v>1643</v>
      </c>
      <c r="H174" s="120" t="s">
        <v>1643</v>
      </c>
      <c r="I174" s="120" t="s">
        <v>1643</v>
      </c>
    </row>
    <row r="175" spans="1:9" ht="16.5" x14ac:dyDescent="0.35">
      <c r="A175" s="251" t="s">
        <v>1926</v>
      </c>
      <c r="B175" s="120">
        <v>2</v>
      </c>
      <c r="C175" s="120">
        <v>47</v>
      </c>
      <c r="D175" s="120" t="s">
        <v>1642</v>
      </c>
      <c r="E175" s="120" t="s">
        <v>1642</v>
      </c>
      <c r="F175" s="120" t="s">
        <v>1643</v>
      </c>
      <c r="G175" s="120" t="s">
        <v>1643</v>
      </c>
      <c r="H175" s="120" t="s">
        <v>1643</v>
      </c>
      <c r="I175" s="120" t="s">
        <v>1643</v>
      </c>
    </row>
    <row r="176" spans="1:9" ht="16.5" x14ac:dyDescent="0.35">
      <c r="A176" s="251" t="s">
        <v>1927</v>
      </c>
      <c r="B176" s="120">
        <v>2</v>
      </c>
      <c r="C176" s="120">
        <v>15</v>
      </c>
      <c r="D176" s="120" t="s">
        <v>1643</v>
      </c>
      <c r="E176" s="120" t="s">
        <v>1642</v>
      </c>
      <c r="F176" s="120" t="s">
        <v>1643</v>
      </c>
      <c r="G176" s="120" t="s">
        <v>1643</v>
      </c>
      <c r="H176" s="120" t="s">
        <v>1642</v>
      </c>
      <c r="I176" s="120" t="s">
        <v>1643</v>
      </c>
    </row>
    <row r="177" spans="1:9" ht="16.5" x14ac:dyDescent="0.35">
      <c r="A177" s="251" t="s">
        <v>1928</v>
      </c>
      <c r="B177" s="120">
        <v>2</v>
      </c>
      <c r="C177" s="120">
        <v>27</v>
      </c>
      <c r="D177" s="120" t="s">
        <v>1643</v>
      </c>
      <c r="E177" s="120" t="s">
        <v>1642</v>
      </c>
      <c r="F177" s="120" t="s">
        <v>1643</v>
      </c>
      <c r="G177" s="120" t="s">
        <v>1643</v>
      </c>
      <c r="H177" s="120" t="s">
        <v>1642</v>
      </c>
      <c r="I177" s="120" t="s">
        <v>1643</v>
      </c>
    </row>
    <row r="178" spans="1:9" ht="16.5" x14ac:dyDescent="0.35">
      <c r="A178" s="251" t="s">
        <v>1929</v>
      </c>
      <c r="B178" s="120">
        <v>2</v>
      </c>
      <c r="C178" s="120">
        <v>2</v>
      </c>
      <c r="D178" s="120" t="s">
        <v>1643</v>
      </c>
      <c r="E178" s="120" t="s">
        <v>1642</v>
      </c>
      <c r="F178" s="120" t="s">
        <v>1643</v>
      </c>
      <c r="G178" s="120" t="s">
        <v>1643</v>
      </c>
      <c r="H178" s="120" t="s">
        <v>1642</v>
      </c>
      <c r="I178" s="120" t="s">
        <v>1643</v>
      </c>
    </row>
    <row r="179" spans="1:9" ht="16.5" x14ac:dyDescent="0.35">
      <c r="A179" s="251" t="s">
        <v>1930</v>
      </c>
      <c r="B179" s="120">
        <v>2</v>
      </c>
      <c r="C179" s="120">
        <v>3</v>
      </c>
      <c r="D179" s="120" t="s">
        <v>1643</v>
      </c>
      <c r="E179" s="120" t="s">
        <v>1642</v>
      </c>
      <c r="F179" s="120" t="s">
        <v>1643</v>
      </c>
      <c r="G179" s="120" t="s">
        <v>1643</v>
      </c>
      <c r="H179" s="120" t="s">
        <v>1642</v>
      </c>
      <c r="I179" s="120" t="s">
        <v>1643</v>
      </c>
    </row>
    <row r="180" spans="1:9" ht="16.5" x14ac:dyDescent="0.35">
      <c r="A180" s="251" t="s">
        <v>1931</v>
      </c>
      <c r="B180" s="120">
        <v>2</v>
      </c>
      <c r="C180" s="120">
        <v>7</v>
      </c>
      <c r="D180" s="120" t="s">
        <v>1643</v>
      </c>
      <c r="E180" s="120" t="s">
        <v>1642</v>
      </c>
      <c r="F180" s="120" t="s">
        <v>1643</v>
      </c>
      <c r="G180" s="120" t="s">
        <v>1643</v>
      </c>
      <c r="H180" s="120" t="s">
        <v>1642</v>
      </c>
      <c r="I180" s="120" t="s">
        <v>1643</v>
      </c>
    </row>
    <row r="181" spans="1:9" ht="16.5" x14ac:dyDescent="0.35">
      <c r="A181" s="251" t="s">
        <v>1932</v>
      </c>
      <c r="B181" s="120">
        <v>2</v>
      </c>
      <c r="C181" s="120">
        <v>91</v>
      </c>
      <c r="D181" s="120" t="s">
        <v>1643</v>
      </c>
      <c r="E181" s="120" t="s">
        <v>1642</v>
      </c>
      <c r="F181" s="120" t="s">
        <v>1643</v>
      </c>
      <c r="G181" s="120" t="s">
        <v>1643</v>
      </c>
      <c r="H181" s="120" t="s">
        <v>1642</v>
      </c>
      <c r="I181" s="120" t="s">
        <v>1643</v>
      </c>
    </row>
    <row r="182" spans="1:9" ht="16.5" x14ac:dyDescent="0.35">
      <c r="A182" s="251" t="s">
        <v>1933</v>
      </c>
      <c r="B182" s="120">
        <v>2</v>
      </c>
      <c r="C182" s="120">
        <v>90</v>
      </c>
      <c r="D182" s="120" t="s">
        <v>1643</v>
      </c>
      <c r="E182" s="120" t="s">
        <v>1642</v>
      </c>
      <c r="F182" s="120" t="s">
        <v>1643</v>
      </c>
      <c r="G182" s="120" t="s">
        <v>1643</v>
      </c>
      <c r="H182" s="120" t="s">
        <v>1642</v>
      </c>
      <c r="I182" s="120" t="s">
        <v>1643</v>
      </c>
    </row>
    <row r="183" spans="1:9" ht="16.5" x14ac:dyDescent="0.35">
      <c r="A183" s="251" t="s">
        <v>1934</v>
      </c>
      <c r="B183" s="120">
        <v>2</v>
      </c>
      <c r="C183" s="120">
        <v>27</v>
      </c>
      <c r="D183" s="120" t="s">
        <v>1643</v>
      </c>
      <c r="E183" s="120" t="s">
        <v>1642</v>
      </c>
      <c r="F183" s="120" t="s">
        <v>1643</v>
      </c>
      <c r="G183" s="120" t="s">
        <v>1643</v>
      </c>
      <c r="H183" s="120" t="s">
        <v>1642</v>
      </c>
      <c r="I183" s="120" t="s">
        <v>1643</v>
      </c>
    </row>
    <row r="184" spans="1:9" ht="16.5" x14ac:dyDescent="0.35">
      <c r="A184" s="251" t="s">
        <v>1935</v>
      </c>
      <c r="B184" s="120">
        <v>2</v>
      </c>
      <c r="C184" s="120">
        <v>93</v>
      </c>
      <c r="D184" s="120" t="s">
        <v>1643</v>
      </c>
      <c r="E184" s="120" t="s">
        <v>1643</v>
      </c>
      <c r="F184" s="120" t="s">
        <v>1643</v>
      </c>
      <c r="G184" s="120" t="s">
        <v>1642</v>
      </c>
      <c r="H184" s="120" t="s">
        <v>1642</v>
      </c>
      <c r="I184" s="120" t="s">
        <v>1643</v>
      </c>
    </row>
    <row r="185" spans="1:9" ht="16.5" x14ac:dyDescent="0.35">
      <c r="A185" s="251" t="s">
        <v>1936</v>
      </c>
      <c r="B185" s="120">
        <v>2</v>
      </c>
      <c r="C185" s="120">
        <v>28</v>
      </c>
      <c r="D185" s="120" t="s">
        <v>1643</v>
      </c>
      <c r="E185" s="120" t="s">
        <v>1642</v>
      </c>
      <c r="F185" s="120" t="s">
        <v>1643</v>
      </c>
      <c r="G185" s="120" t="s">
        <v>1643</v>
      </c>
      <c r="H185" s="120" t="s">
        <v>1642</v>
      </c>
      <c r="I185" s="120" t="s">
        <v>1643</v>
      </c>
    </row>
    <row r="186" spans="1:9" ht="16.5" x14ac:dyDescent="0.35">
      <c r="A186" s="251" t="s">
        <v>1937</v>
      </c>
      <c r="B186" s="120">
        <v>2</v>
      </c>
      <c r="C186" s="120">
        <v>78</v>
      </c>
      <c r="D186" s="120" t="s">
        <v>1643</v>
      </c>
      <c r="E186" s="120" t="s">
        <v>1643</v>
      </c>
      <c r="F186" s="120" t="s">
        <v>1642</v>
      </c>
      <c r="G186" s="120" t="s">
        <v>1642</v>
      </c>
      <c r="H186" s="120" t="s">
        <v>1643</v>
      </c>
      <c r="I186" s="120" t="s">
        <v>1643</v>
      </c>
    </row>
    <row r="187" spans="1:9" ht="16.5" x14ac:dyDescent="0.35">
      <c r="A187" s="251" t="s">
        <v>1938</v>
      </c>
      <c r="B187" s="120">
        <v>2</v>
      </c>
      <c r="C187" s="120">
        <v>30</v>
      </c>
      <c r="D187" s="120" t="s">
        <v>1643</v>
      </c>
      <c r="E187" s="120" t="s">
        <v>1642</v>
      </c>
      <c r="F187" s="120" t="s">
        <v>1643</v>
      </c>
      <c r="G187" s="120" t="s">
        <v>1643</v>
      </c>
      <c r="H187" s="120" t="s">
        <v>1642</v>
      </c>
      <c r="I187" s="120" t="s">
        <v>1643</v>
      </c>
    </row>
    <row r="188" spans="1:9" ht="16.5" x14ac:dyDescent="0.35">
      <c r="A188" s="251" t="s">
        <v>1939</v>
      </c>
      <c r="B188" s="120">
        <v>2</v>
      </c>
      <c r="C188" s="120">
        <v>85</v>
      </c>
      <c r="D188" s="120" t="s">
        <v>1643</v>
      </c>
      <c r="E188" s="120" t="s">
        <v>1643</v>
      </c>
      <c r="F188" s="120" t="s">
        <v>1642</v>
      </c>
      <c r="G188" s="120" t="s">
        <v>1643</v>
      </c>
      <c r="H188" s="120" t="s">
        <v>1642</v>
      </c>
      <c r="I188" s="120" t="s">
        <v>1643</v>
      </c>
    </row>
    <row r="189" spans="1:9" ht="16.5" x14ac:dyDescent="0.35">
      <c r="A189" s="251" t="s">
        <v>1940</v>
      </c>
      <c r="B189" s="120">
        <v>2</v>
      </c>
      <c r="C189" s="120">
        <v>79</v>
      </c>
      <c r="D189" s="120" t="s">
        <v>1643</v>
      </c>
      <c r="E189" s="120" t="s">
        <v>1642</v>
      </c>
      <c r="F189" s="120" t="s">
        <v>1643</v>
      </c>
      <c r="G189" s="120" t="s">
        <v>1643</v>
      </c>
      <c r="H189" s="120" t="s">
        <v>1642</v>
      </c>
      <c r="I189" s="120" t="s">
        <v>1643</v>
      </c>
    </row>
    <row r="190" spans="1:9" ht="16.5" x14ac:dyDescent="0.35">
      <c r="A190" s="251" t="s">
        <v>1941</v>
      </c>
      <c r="B190" s="120">
        <v>2</v>
      </c>
      <c r="C190" s="120">
        <v>89</v>
      </c>
      <c r="D190" s="120" t="s">
        <v>1643</v>
      </c>
      <c r="E190" s="120" t="s">
        <v>1642</v>
      </c>
      <c r="F190" s="120" t="s">
        <v>1643</v>
      </c>
      <c r="G190" s="120" t="s">
        <v>1643</v>
      </c>
      <c r="H190" s="120" t="s">
        <v>1642</v>
      </c>
      <c r="I190" s="120" t="s">
        <v>1643</v>
      </c>
    </row>
    <row r="191" spans="1:9" ht="16.5" x14ac:dyDescent="0.35">
      <c r="A191" s="251" t="s">
        <v>1942</v>
      </c>
      <c r="B191" s="120">
        <v>2</v>
      </c>
      <c r="C191" s="120">
        <v>13</v>
      </c>
      <c r="D191" s="120" t="s">
        <v>1643</v>
      </c>
      <c r="E191" s="120" t="s">
        <v>1642</v>
      </c>
      <c r="F191" s="120" t="s">
        <v>1643</v>
      </c>
      <c r="G191" s="120" t="s">
        <v>1643</v>
      </c>
      <c r="H191" s="120" t="s">
        <v>1642</v>
      </c>
      <c r="I191" s="120" t="s">
        <v>1643</v>
      </c>
    </row>
    <row r="192" spans="1:9" ht="16.5" x14ac:dyDescent="0.35">
      <c r="A192" s="251" t="s">
        <v>1943</v>
      </c>
      <c r="B192" s="120">
        <v>2</v>
      </c>
      <c r="C192" s="120">
        <v>90</v>
      </c>
      <c r="D192" s="120" t="s">
        <v>1643</v>
      </c>
      <c r="E192" s="120" t="s">
        <v>1642</v>
      </c>
      <c r="F192" s="120" t="s">
        <v>1643</v>
      </c>
      <c r="G192" s="120" t="s">
        <v>1643</v>
      </c>
      <c r="H192" s="120" t="s">
        <v>1642</v>
      </c>
      <c r="I192" s="120" t="s">
        <v>1643</v>
      </c>
    </row>
    <row r="193" spans="1:9" ht="16.5" x14ac:dyDescent="0.35">
      <c r="A193" s="251" t="s">
        <v>1944</v>
      </c>
      <c r="B193" s="120">
        <v>2</v>
      </c>
      <c r="C193" s="120">
        <v>15</v>
      </c>
      <c r="D193" s="120" t="s">
        <v>1643</v>
      </c>
      <c r="E193" s="120" t="s">
        <v>1643</v>
      </c>
      <c r="F193" s="120" t="s">
        <v>1642</v>
      </c>
      <c r="G193" s="120" t="s">
        <v>1642</v>
      </c>
      <c r="H193" s="120" t="s">
        <v>1643</v>
      </c>
      <c r="I193" s="120" t="s">
        <v>1643</v>
      </c>
    </row>
    <row r="194" spans="1:9" ht="16.5" x14ac:dyDescent="0.35">
      <c r="A194" s="251" t="s">
        <v>1945</v>
      </c>
      <c r="B194" s="120">
        <v>2</v>
      </c>
      <c r="C194" s="120">
        <v>78</v>
      </c>
      <c r="D194" s="120" t="s">
        <v>1643</v>
      </c>
      <c r="E194" s="120" t="s">
        <v>1642</v>
      </c>
      <c r="F194" s="120" t="s">
        <v>1643</v>
      </c>
      <c r="G194" s="120" t="s">
        <v>1643</v>
      </c>
      <c r="H194" s="120" t="s">
        <v>1642</v>
      </c>
      <c r="I194" s="120" t="s">
        <v>1643</v>
      </c>
    </row>
    <row r="195" spans="1:9" ht="16.5" x14ac:dyDescent="0.35">
      <c r="A195" s="251" t="s">
        <v>1946</v>
      </c>
      <c r="B195" s="120">
        <v>2</v>
      </c>
      <c r="C195" s="120">
        <v>74</v>
      </c>
      <c r="D195" s="120" t="s">
        <v>1643</v>
      </c>
      <c r="E195" s="120" t="s">
        <v>1642</v>
      </c>
      <c r="F195" s="120" t="s">
        <v>1643</v>
      </c>
      <c r="G195" s="120" t="s">
        <v>1643</v>
      </c>
      <c r="H195" s="120" t="s">
        <v>1642</v>
      </c>
      <c r="I195" s="120" t="s">
        <v>1643</v>
      </c>
    </row>
    <row r="196" spans="1:9" ht="16.5" x14ac:dyDescent="0.35">
      <c r="A196" s="251" t="s">
        <v>1947</v>
      </c>
      <c r="B196" s="120">
        <v>2</v>
      </c>
      <c r="C196" s="120">
        <v>90</v>
      </c>
      <c r="D196" s="120" t="s">
        <v>1643</v>
      </c>
      <c r="E196" s="120" t="s">
        <v>1643</v>
      </c>
      <c r="F196" s="120" t="s">
        <v>1642</v>
      </c>
      <c r="G196" s="120" t="s">
        <v>1643</v>
      </c>
      <c r="H196" s="120" t="s">
        <v>1642</v>
      </c>
      <c r="I196" s="120" t="s">
        <v>1643</v>
      </c>
    </row>
    <row r="197" spans="1:9" ht="16.5" x14ac:dyDescent="0.35">
      <c r="A197" s="251" t="s">
        <v>1948</v>
      </c>
      <c r="B197" s="120">
        <v>2</v>
      </c>
      <c r="C197" s="120">
        <v>24</v>
      </c>
      <c r="D197" s="120" t="s">
        <v>1643</v>
      </c>
      <c r="E197" s="120" t="s">
        <v>1642</v>
      </c>
      <c r="F197" s="120" t="s">
        <v>1643</v>
      </c>
      <c r="G197" s="120" t="s">
        <v>1643</v>
      </c>
      <c r="H197" s="120" t="s">
        <v>1642</v>
      </c>
      <c r="I197" s="120" t="s">
        <v>1643</v>
      </c>
    </row>
    <row r="198" spans="1:9" ht="16.5" x14ac:dyDescent="0.35">
      <c r="A198" s="251" t="s">
        <v>1949</v>
      </c>
      <c r="B198" s="120">
        <v>2</v>
      </c>
      <c r="C198" s="120">
        <v>71</v>
      </c>
      <c r="D198" s="120" t="s">
        <v>1643</v>
      </c>
      <c r="E198" s="120" t="s">
        <v>1642</v>
      </c>
      <c r="F198" s="120" t="s">
        <v>1643</v>
      </c>
      <c r="G198" s="120" t="s">
        <v>1643</v>
      </c>
      <c r="H198" s="120" t="s">
        <v>1642</v>
      </c>
      <c r="I198" s="120" t="s">
        <v>1643</v>
      </c>
    </row>
    <row r="199" spans="1:9" ht="16.5" x14ac:dyDescent="0.35">
      <c r="A199" s="251" t="s">
        <v>1950</v>
      </c>
      <c r="B199" s="120">
        <v>2</v>
      </c>
      <c r="C199" s="120">
        <v>91</v>
      </c>
      <c r="D199" s="120" t="s">
        <v>1643</v>
      </c>
      <c r="E199" s="120" t="s">
        <v>1642</v>
      </c>
      <c r="F199" s="120" t="s">
        <v>1643</v>
      </c>
      <c r="G199" s="120" t="s">
        <v>1643</v>
      </c>
      <c r="H199" s="120" t="s">
        <v>1642</v>
      </c>
      <c r="I199" s="120" t="s">
        <v>1643</v>
      </c>
    </row>
    <row r="200" spans="1:9" ht="16.5" x14ac:dyDescent="0.35">
      <c r="A200" s="251" t="s">
        <v>1951</v>
      </c>
      <c r="B200" s="120">
        <v>2</v>
      </c>
      <c r="C200" s="120">
        <v>32</v>
      </c>
      <c r="D200" s="120" t="s">
        <v>1643</v>
      </c>
      <c r="E200" s="120" t="s">
        <v>1642</v>
      </c>
      <c r="F200" s="120" t="s">
        <v>1643</v>
      </c>
      <c r="G200" s="120" t="s">
        <v>1643</v>
      </c>
      <c r="H200" s="120" t="s">
        <v>1642</v>
      </c>
      <c r="I200" s="120" t="s">
        <v>1643</v>
      </c>
    </row>
    <row r="201" spans="1:9" ht="16.5" x14ac:dyDescent="0.35">
      <c r="A201" s="251" t="s">
        <v>1952</v>
      </c>
      <c r="B201" s="120">
        <v>2</v>
      </c>
      <c r="C201" s="120">
        <v>31</v>
      </c>
      <c r="D201" s="120" t="s">
        <v>1643</v>
      </c>
      <c r="E201" s="120" t="s">
        <v>1642</v>
      </c>
      <c r="F201" s="120" t="s">
        <v>1643</v>
      </c>
      <c r="G201" s="120" t="s">
        <v>1643</v>
      </c>
      <c r="H201" s="120" t="s">
        <v>1642</v>
      </c>
      <c r="I201" s="120" t="s">
        <v>1643</v>
      </c>
    </row>
    <row r="202" spans="1:9" ht="16.5" x14ac:dyDescent="0.35">
      <c r="A202" s="251" t="s">
        <v>1953</v>
      </c>
      <c r="B202" s="120">
        <v>2</v>
      </c>
      <c r="C202" s="120">
        <v>9</v>
      </c>
      <c r="D202" s="120" t="s">
        <v>1643</v>
      </c>
      <c r="E202" s="120" t="s">
        <v>1642</v>
      </c>
      <c r="F202" s="120" t="s">
        <v>1643</v>
      </c>
      <c r="G202" s="120" t="s">
        <v>1643</v>
      </c>
      <c r="H202" s="120" t="s">
        <v>1642</v>
      </c>
      <c r="I202" s="120" t="s">
        <v>1643</v>
      </c>
    </row>
    <row r="203" spans="1:9" ht="16.5" x14ac:dyDescent="0.35">
      <c r="A203" s="251" t="s">
        <v>1954</v>
      </c>
      <c r="B203" s="120">
        <v>2</v>
      </c>
      <c r="C203" s="120">
        <v>62</v>
      </c>
      <c r="D203" s="120" t="s">
        <v>1643</v>
      </c>
      <c r="E203" s="120" t="s">
        <v>1642</v>
      </c>
      <c r="F203" s="120" t="s">
        <v>1643</v>
      </c>
      <c r="G203" s="120" t="s">
        <v>1643</v>
      </c>
      <c r="H203" s="120" t="s">
        <v>1642</v>
      </c>
      <c r="I203" s="120" t="s">
        <v>1643</v>
      </c>
    </row>
    <row r="204" spans="1:9" ht="16.5" x14ac:dyDescent="0.35">
      <c r="A204" s="251" t="s">
        <v>1955</v>
      </c>
      <c r="B204" s="120">
        <v>2</v>
      </c>
      <c r="C204" s="120">
        <v>51</v>
      </c>
      <c r="D204" s="120" t="s">
        <v>1643</v>
      </c>
      <c r="E204" s="120" t="s">
        <v>1642</v>
      </c>
      <c r="F204" s="120" t="s">
        <v>1643</v>
      </c>
      <c r="G204" s="120" t="s">
        <v>1643</v>
      </c>
      <c r="H204" s="120" t="s">
        <v>1642</v>
      </c>
      <c r="I204" s="120" t="s">
        <v>1643</v>
      </c>
    </row>
    <row r="205" spans="1:9" ht="16.5" x14ac:dyDescent="0.35">
      <c r="A205" s="251" t="s">
        <v>1956</v>
      </c>
      <c r="B205" s="120">
        <v>2</v>
      </c>
      <c r="C205" s="120">
        <v>43</v>
      </c>
      <c r="D205" s="120" t="s">
        <v>1643</v>
      </c>
      <c r="E205" s="120" t="s">
        <v>1642</v>
      </c>
      <c r="F205" s="120" t="s">
        <v>1643</v>
      </c>
      <c r="G205" s="120" t="s">
        <v>1643</v>
      </c>
      <c r="H205" s="120" t="s">
        <v>1642</v>
      </c>
      <c r="I205" s="120" t="s">
        <v>1643</v>
      </c>
    </row>
    <row r="206" spans="1:9" ht="16.5" x14ac:dyDescent="0.35">
      <c r="A206" s="251" t="s">
        <v>1957</v>
      </c>
      <c r="B206" s="120">
        <v>2</v>
      </c>
      <c r="C206" s="120">
        <v>52</v>
      </c>
      <c r="D206" s="120" t="s">
        <v>1643</v>
      </c>
      <c r="E206" s="120" t="s">
        <v>1643</v>
      </c>
      <c r="F206" s="120" t="s">
        <v>1642</v>
      </c>
      <c r="G206" s="120" t="s">
        <v>1643</v>
      </c>
      <c r="H206" s="120" t="s">
        <v>1642</v>
      </c>
      <c r="I206" s="120" t="s">
        <v>1643</v>
      </c>
    </row>
    <row r="207" spans="1:9" ht="16.5" x14ac:dyDescent="0.35">
      <c r="A207" s="251" t="s">
        <v>2574</v>
      </c>
      <c r="B207" s="120">
        <v>2</v>
      </c>
      <c r="C207" s="120">
        <v>15</v>
      </c>
      <c r="D207" s="120" t="s">
        <v>1642</v>
      </c>
      <c r="E207" s="120" t="s">
        <v>1642</v>
      </c>
      <c r="F207" s="120" t="s">
        <v>1643</v>
      </c>
      <c r="G207" s="120" t="s">
        <v>1643</v>
      </c>
      <c r="H207" s="120" t="s">
        <v>1643</v>
      </c>
      <c r="I207" s="120" t="s">
        <v>1643</v>
      </c>
    </row>
    <row r="208" spans="1:9" ht="16.5" x14ac:dyDescent="0.35">
      <c r="A208" s="251" t="s">
        <v>1958</v>
      </c>
      <c r="B208" s="120">
        <v>2</v>
      </c>
      <c r="C208" s="120">
        <v>57</v>
      </c>
      <c r="D208" s="120" t="s">
        <v>1643</v>
      </c>
      <c r="E208" s="120" t="s">
        <v>1643</v>
      </c>
      <c r="F208" s="120" t="s">
        <v>1643</v>
      </c>
      <c r="G208" s="120" t="s">
        <v>1643</v>
      </c>
      <c r="H208" s="120" t="s">
        <v>1642</v>
      </c>
      <c r="I208" s="120" t="s">
        <v>1642</v>
      </c>
    </row>
    <row r="209" spans="1:9" ht="16.5" x14ac:dyDescent="0.35">
      <c r="A209" s="251" t="s">
        <v>1959</v>
      </c>
      <c r="B209" s="120">
        <v>2</v>
      </c>
      <c r="C209" s="120">
        <v>86</v>
      </c>
      <c r="D209" s="120" t="s">
        <v>1643</v>
      </c>
      <c r="E209" s="120" t="s">
        <v>1642</v>
      </c>
      <c r="F209" s="120" t="s">
        <v>1643</v>
      </c>
      <c r="G209" s="120" t="s">
        <v>1642</v>
      </c>
      <c r="H209" s="120" t="s">
        <v>1643</v>
      </c>
      <c r="I209" s="120" t="s">
        <v>1643</v>
      </c>
    </row>
    <row r="210" spans="1:9" ht="16.5" x14ac:dyDescent="0.35">
      <c r="A210" s="251" t="s">
        <v>1960</v>
      </c>
      <c r="B210" s="120">
        <v>2</v>
      </c>
      <c r="C210" s="120">
        <v>25</v>
      </c>
      <c r="D210" s="120" t="s">
        <v>1642</v>
      </c>
      <c r="E210" s="120" t="s">
        <v>1643</v>
      </c>
      <c r="F210" s="120" t="s">
        <v>1643</v>
      </c>
      <c r="G210" s="120" t="s">
        <v>1642</v>
      </c>
      <c r="H210" s="120" t="s">
        <v>1643</v>
      </c>
      <c r="I210" s="120" t="s">
        <v>1643</v>
      </c>
    </row>
    <row r="211" spans="1:9" ht="16.5" x14ac:dyDescent="0.35">
      <c r="A211" s="251" t="s">
        <v>2575</v>
      </c>
      <c r="B211" s="120">
        <v>2</v>
      </c>
      <c r="C211" s="120">
        <v>72</v>
      </c>
      <c r="D211" s="120" t="s">
        <v>1643</v>
      </c>
      <c r="E211" s="120" t="s">
        <v>1642</v>
      </c>
      <c r="F211" s="120" t="s">
        <v>1643</v>
      </c>
      <c r="G211" s="120" t="s">
        <v>1643</v>
      </c>
      <c r="H211" s="120" t="s">
        <v>1642</v>
      </c>
      <c r="I211" s="120" t="s">
        <v>1643</v>
      </c>
    </row>
    <row r="212" spans="1:9" ht="16.5" x14ac:dyDescent="0.35">
      <c r="A212" s="251" t="s">
        <v>1961</v>
      </c>
      <c r="B212" s="120">
        <v>2</v>
      </c>
      <c r="C212" s="120">
        <v>7</v>
      </c>
      <c r="D212" s="120" t="s">
        <v>1643</v>
      </c>
      <c r="E212" s="120" t="s">
        <v>1642</v>
      </c>
      <c r="F212" s="120" t="s">
        <v>1643</v>
      </c>
      <c r="G212" s="120" t="s">
        <v>1643</v>
      </c>
      <c r="H212" s="120" t="s">
        <v>1642</v>
      </c>
      <c r="I212" s="120" t="s">
        <v>1643</v>
      </c>
    </row>
    <row r="213" spans="1:9" ht="16.5" x14ac:dyDescent="0.35">
      <c r="A213" s="251" t="s">
        <v>1962</v>
      </c>
      <c r="B213" s="120">
        <v>2</v>
      </c>
      <c r="C213" s="120">
        <v>88</v>
      </c>
      <c r="D213" s="120" t="s">
        <v>1643</v>
      </c>
      <c r="E213" s="120" t="s">
        <v>1642</v>
      </c>
      <c r="F213" s="120" t="s">
        <v>1642</v>
      </c>
      <c r="G213" s="120" t="s">
        <v>1643</v>
      </c>
      <c r="H213" s="120" t="s">
        <v>1643</v>
      </c>
      <c r="I213" s="120" t="s">
        <v>1643</v>
      </c>
    </row>
    <row r="214" spans="1:9" ht="16.5" x14ac:dyDescent="0.35">
      <c r="A214" s="251" t="s">
        <v>1963</v>
      </c>
      <c r="B214" s="120">
        <v>2</v>
      </c>
      <c r="C214" s="120">
        <v>42</v>
      </c>
      <c r="D214" s="120" t="s">
        <v>1643</v>
      </c>
      <c r="E214" s="120" t="s">
        <v>1642</v>
      </c>
      <c r="F214" s="120" t="s">
        <v>1643</v>
      </c>
      <c r="G214" s="120" t="s">
        <v>1643</v>
      </c>
      <c r="H214" s="120" t="s">
        <v>1642</v>
      </c>
      <c r="I214" s="120" t="s">
        <v>1643</v>
      </c>
    </row>
    <row r="215" spans="1:9" ht="16.5" x14ac:dyDescent="0.35">
      <c r="A215" s="251" t="s">
        <v>1964</v>
      </c>
      <c r="B215" s="120">
        <v>2</v>
      </c>
      <c r="C215" s="120">
        <v>2</v>
      </c>
      <c r="D215" s="120" t="s">
        <v>1643</v>
      </c>
      <c r="E215" s="120" t="s">
        <v>1642</v>
      </c>
      <c r="F215" s="120" t="s">
        <v>1643</v>
      </c>
      <c r="G215" s="120" t="s">
        <v>1643</v>
      </c>
      <c r="H215" s="120" t="s">
        <v>1642</v>
      </c>
      <c r="I215" s="120" t="s">
        <v>1643</v>
      </c>
    </row>
    <row r="216" spans="1:9" ht="16.5" x14ac:dyDescent="0.35">
      <c r="A216" s="251" t="s">
        <v>1965</v>
      </c>
      <c r="B216" s="120">
        <v>2</v>
      </c>
      <c r="C216" s="120">
        <v>80</v>
      </c>
      <c r="D216" s="120" t="s">
        <v>1643</v>
      </c>
      <c r="E216" s="120" t="s">
        <v>1642</v>
      </c>
      <c r="F216" s="120" t="s">
        <v>1643</v>
      </c>
      <c r="G216" s="120" t="s">
        <v>1643</v>
      </c>
      <c r="H216" s="120" t="s">
        <v>1642</v>
      </c>
      <c r="I216" s="120" t="s">
        <v>1643</v>
      </c>
    </row>
    <row r="217" spans="1:9" ht="16.5" x14ac:dyDescent="0.35">
      <c r="A217" s="251" t="s">
        <v>1966</v>
      </c>
      <c r="B217" s="120">
        <v>2</v>
      </c>
      <c r="C217" s="120">
        <v>47</v>
      </c>
      <c r="D217" s="120" t="s">
        <v>1643</v>
      </c>
      <c r="E217" s="120" t="s">
        <v>1642</v>
      </c>
      <c r="F217" s="120" t="s">
        <v>1643</v>
      </c>
      <c r="G217" s="120" t="s">
        <v>1643</v>
      </c>
      <c r="H217" s="120" t="s">
        <v>1642</v>
      </c>
      <c r="I217" s="120" t="s">
        <v>1643</v>
      </c>
    </row>
    <row r="218" spans="1:9" ht="16.5" x14ac:dyDescent="0.35">
      <c r="A218" s="251" t="s">
        <v>1967</v>
      </c>
      <c r="B218" s="120">
        <v>2</v>
      </c>
      <c r="C218" s="120">
        <v>78</v>
      </c>
      <c r="D218" s="120" t="s">
        <v>1643</v>
      </c>
      <c r="E218" s="120" t="s">
        <v>1642</v>
      </c>
      <c r="F218" s="120" t="s">
        <v>1643</v>
      </c>
      <c r="G218" s="120" t="s">
        <v>1643</v>
      </c>
      <c r="H218" s="120" t="s">
        <v>1642</v>
      </c>
      <c r="I218" s="120" t="s">
        <v>1643</v>
      </c>
    </row>
    <row r="219" spans="1:9" ht="16.5" x14ac:dyDescent="0.35">
      <c r="A219" s="251" t="s">
        <v>1968</v>
      </c>
      <c r="B219" s="120">
        <v>2</v>
      </c>
      <c r="C219" s="120">
        <v>9</v>
      </c>
      <c r="D219" s="120" t="s">
        <v>1643</v>
      </c>
      <c r="E219" s="120" t="s">
        <v>1642</v>
      </c>
      <c r="F219" s="120" t="s">
        <v>1643</v>
      </c>
      <c r="G219" s="120" t="s">
        <v>1643</v>
      </c>
      <c r="H219" s="120" t="s">
        <v>1642</v>
      </c>
      <c r="I219" s="120" t="s">
        <v>1643</v>
      </c>
    </row>
    <row r="220" spans="1:9" ht="16.5" x14ac:dyDescent="0.35">
      <c r="A220" s="251" t="s">
        <v>1969</v>
      </c>
      <c r="B220" s="120">
        <v>2</v>
      </c>
      <c r="C220" s="120">
        <v>76</v>
      </c>
      <c r="D220" s="120" t="s">
        <v>1643</v>
      </c>
      <c r="E220" s="120" t="s">
        <v>1642</v>
      </c>
      <c r="F220" s="120" t="s">
        <v>1643</v>
      </c>
      <c r="G220" s="120" t="s">
        <v>1643</v>
      </c>
      <c r="H220" s="120" t="s">
        <v>1642</v>
      </c>
      <c r="I220" s="120" t="s">
        <v>1643</v>
      </c>
    </row>
    <row r="221" spans="1:9" ht="16.5" x14ac:dyDescent="0.35">
      <c r="A221" s="251" t="s">
        <v>1970</v>
      </c>
      <c r="B221" s="120">
        <v>2</v>
      </c>
      <c r="C221" s="120">
        <v>8</v>
      </c>
      <c r="D221" s="120" t="s">
        <v>1643</v>
      </c>
      <c r="E221" s="120" t="s">
        <v>1642</v>
      </c>
      <c r="F221" s="120" t="s">
        <v>1643</v>
      </c>
      <c r="G221" s="120" t="s">
        <v>1643</v>
      </c>
      <c r="H221" s="120" t="s">
        <v>1642</v>
      </c>
      <c r="I221" s="120" t="s">
        <v>1643</v>
      </c>
    </row>
    <row r="222" spans="1:9" ht="16.5" x14ac:dyDescent="0.35">
      <c r="A222" s="251" t="s">
        <v>1971</v>
      </c>
      <c r="B222" s="120">
        <v>2</v>
      </c>
      <c r="C222" s="120">
        <v>22</v>
      </c>
      <c r="D222" s="120" t="s">
        <v>1642</v>
      </c>
      <c r="E222" s="120" t="s">
        <v>1643</v>
      </c>
      <c r="F222" s="120" t="s">
        <v>1643</v>
      </c>
      <c r="G222" s="120" t="s">
        <v>1642</v>
      </c>
      <c r="H222" s="120" t="s">
        <v>1643</v>
      </c>
      <c r="I222" s="120" t="s">
        <v>1643</v>
      </c>
    </row>
    <row r="223" spans="1:9" ht="16.5" x14ac:dyDescent="0.35">
      <c r="A223" s="251" t="s">
        <v>1972</v>
      </c>
      <c r="B223" s="120">
        <v>2</v>
      </c>
      <c r="C223" s="120">
        <v>30</v>
      </c>
      <c r="D223" s="120" t="s">
        <v>1643</v>
      </c>
      <c r="E223" s="120" t="s">
        <v>1642</v>
      </c>
      <c r="F223" s="120" t="s">
        <v>1643</v>
      </c>
      <c r="G223" s="120" t="s">
        <v>1642</v>
      </c>
      <c r="H223" s="120" t="s">
        <v>1643</v>
      </c>
      <c r="I223" s="120" t="s">
        <v>1643</v>
      </c>
    </row>
    <row r="224" spans="1:9" ht="16.5" x14ac:dyDescent="0.35">
      <c r="A224" s="251" t="s">
        <v>1973</v>
      </c>
      <c r="B224" s="120">
        <v>2</v>
      </c>
      <c r="C224" s="120">
        <v>7</v>
      </c>
      <c r="D224" s="120" t="s">
        <v>1643</v>
      </c>
      <c r="E224" s="120" t="s">
        <v>1642</v>
      </c>
      <c r="F224" s="120" t="s">
        <v>1643</v>
      </c>
      <c r="G224" s="120" t="s">
        <v>1643</v>
      </c>
      <c r="H224" s="120" t="s">
        <v>1642</v>
      </c>
      <c r="I224" s="120" t="s">
        <v>1643</v>
      </c>
    </row>
    <row r="225" spans="1:9" ht="16.5" x14ac:dyDescent="0.35">
      <c r="A225" s="251" t="s">
        <v>1974</v>
      </c>
      <c r="B225" s="120">
        <v>2</v>
      </c>
      <c r="C225" s="120">
        <v>76</v>
      </c>
      <c r="D225" s="120" t="s">
        <v>1643</v>
      </c>
      <c r="E225" s="120" t="s">
        <v>1642</v>
      </c>
      <c r="F225" s="120" t="s">
        <v>1643</v>
      </c>
      <c r="G225" s="120" t="s">
        <v>1643</v>
      </c>
      <c r="H225" s="120" t="s">
        <v>1642</v>
      </c>
      <c r="I225" s="120" t="s">
        <v>1643</v>
      </c>
    </row>
  </sheetData>
  <conditionalFormatting sqref="C1:C225">
    <cfRule type="colorScale" priority="3">
      <colorScale>
        <cfvo type="min"/>
        <cfvo type="percentile" val="50"/>
        <cfvo type="max"/>
        <color rgb="FFE67C73"/>
        <color rgb="FFFFD966"/>
        <color rgb="FF57BB8A"/>
      </colorScale>
    </cfRule>
  </conditionalFormatting>
  <conditionalFormatting sqref="D1:I225">
    <cfRule type="cellIs" dxfId="13" priority="1" operator="equal">
      <formula>"Yes"</formula>
    </cfRule>
    <cfRule type="cellIs" dxfId="12" priority="2" operator="equal">
      <formula>"No"</formula>
    </cfRule>
  </conditionalFormatting>
  <hyperlinks>
    <hyperlink ref="D2" r:id="rId1" display="ABCfinancial.net" xr:uid="{00000000-0004-0000-0B00-000000000000}"/>
    <hyperlink ref="E2" r:id="rId2" xr:uid="{00000000-0004-0000-0B00-000001000000}"/>
    <hyperlink ref="F2" r:id="rId3" xr:uid="{00000000-0004-0000-0B00-000002000000}"/>
    <hyperlink ref="G2" r:id="rId4" xr:uid="{00000000-0004-0000-0B00-000003000000}"/>
    <hyperlink ref="H2" r:id="rId5" xr:uid="{00000000-0004-0000-0B00-000004000000}"/>
    <hyperlink ref="I2" r:id="rId6" xr:uid="{00000000-0004-0000-0B00-00000500000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sheetPr>
  <dimension ref="A1:R499"/>
  <sheetViews>
    <sheetView workbookViewId="0">
      <pane ySplit="1" topLeftCell="A2" activePane="bottomLeft" state="frozen"/>
      <selection pane="bottomLeft" activeCell="B3" sqref="B3"/>
    </sheetView>
  </sheetViews>
  <sheetFormatPr defaultColWidth="12.5703125" defaultRowHeight="15.75" customHeight="1" x14ac:dyDescent="0.2"/>
  <cols>
    <col min="1" max="1" width="21.42578125" customWidth="1"/>
    <col min="2" max="2" width="27.7109375" customWidth="1"/>
    <col min="3" max="3" width="46" customWidth="1"/>
    <col min="7" max="7" width="61" customWidth="1"/>
    <col min="9" max="9" width="16.140625" customWidth="1"/>
    <col min="10" max="10" width="27.42578125" customWidth="1"/>
    <col min="13" max="13" width="2.7109375" customWidth="1"/>
    <col min="15" max="15" width="15.5703125" customWidth="1"/>
    <col min="16" max="16" width="20" customWidth="1"/>
    <col min="17" max="17" width="15.5703125" customWidth="1"/>
    <col min="18" max="18" width="20" customWidth="1"/>
  </cols>
  <sheetData>
    <row r="1" spans="1:18" ht="15.75" customHeight="1" x14ac:dyDescent="0.4">
      <c r="A1" s="95" t="s">
        <v>1975</v>
      </c>
      <c r="B1" s="95" t="s">
        <v>1976</v>
      </c>
      <c r="C1" s="95" t="s">
        <v>1711</v>
      </c>
      <c r="D1" s="95" t="s">
        <v>1714</v>
      </c>
      <c r="E1" s="95" t="s">
        <v>1713</v>
      </c>
      <c r="F1" s="252" t="s">
        <v>564</v>
      </c>
      <c r="G1" s="95" t="s">
        <v>1977</v>
      </c>
      <c r="H1" s="95" t="s">
        <v>1978</v>
      </c>
      <c r="I1" s="253" t="s">
        <v>1979</v>
      </c>
      <c r="J1" s="95" t="s">
        <v>561</v>
      </c>
      <c r="K1" s="95" t="s">
        <v>1980</v>
      </c>
      <c r="L1" s="95" t="s">
        <v>1981</v>
      </c>
      <c r="M1" s="95"/>
      <c r="N1" s="95" t="s">
        <v>1982</v>
      </c>
      <c r="O1" s="95" t="s">
        <v>1983</v>
      </c>
      <c r="P1" s="95" t="s">
        <v>1984</v>
      </c>
      <c r="Q1" s="95" t="s">
        <v>1985</v>
      </c>
      <c r="R1" s="95" t="s">
        <v>1984</v>
      </c>
    </row>
    <row r="2" spans="1:18" ht="15.75" customHeight="1" x14ac:dyDescent="0.35">
      <c r="A2" s="34" t="s">
        <v>1986</v>
      </c>
      <c r="B2" s="34" t="s">
        <v>1987</v>
      </c>
      <c r="C2" s="20" t="s">
        <v>578</v>
      </c>
      <c r="D2" s="34">
        <v>21</v>
      </c>
      <c r="E2" s="101">
        <v>9070</v>
      </c>
      <c r="F2" s="254">
        <v>5.0599999999999996</v>
      </c>
      <c r="G2" s="174" t="s">
        <v>579</v>
      </c>
      <c r="H2" s="34" t="s">
        <v>1643</v>
      </c>
      <c r="I2" s="34">
        <v>13</v>
      </c>
      <c r="J2" s="104" t="str">
        <f>HYPERLINK("https://www.examplebusiness.com/resource-center/investment","https://www.examplebusiness.com/resource-center/investment")</f>
        <v>https://www.examplebusiness.com/resource-center/investment</v>
      </c>
      <c r="K2" s="34" t="s">
        <v>1643</v>
      </c>
      <c r="L2" s="34" t="s">
        <v>1643</v>
      </c>
      <c r="M2" s="34"/>
      <c r="N2" s="34"/>
      <c r="O2" s="34"/>
      <c r="P2" s="102"/>
      <c r="Q2" s="34"/>
      <c r="R2" s="102"/>
    </row>
    <row r="3" spans="1:18" ht="15.75" customHeight="1" x14ac:dyDescent="0.35">
      <c r="A3" s="34" t="s">
        <v>1986</v>
      </c>
      <c r="B3" s="34" t="s">
        <v>1987</v>
      </c>
      <c r="C3" s="20" t="s">
        <v>69</v>
      </c>
      <c r="D3" s="34">
        <v>45</v>
      </c>
      <c r="E3" s="34">
        <v>7450</v>
      </c>
      <c r="F3" s="254">
        <v>11.43</v>
      </c>
      <c r="G3" s="174"/>
      <c r="H3" s="34" t="s">
        <v>1643</v>
      </c>
      <c r="I3" s="34">
        <v>84</v>
      </c>
      <c r="J3" s="104" t="str">
        <f>HYPERLINK("https://www.examplebusiness.com/resource-center/investment/investment-risk-no-ones-heard-of","https://www.examplebusiness.com/resource-center/investment/investment-risk-no-ones-heard-of")</f>
        <v>https://www.examplebusiness.com/resource-center/investment/investment-risk-no-ones-heard-of</v>
      </c>
      <c r="K3" s="34" t="s">
        <v>1643</v>
      </c>
      <c r="L3" s="34" t="s">
        <v>1643</v>
      </c>
      <c r="M3" s="34"/>
      <c r="N3" s="34"/>
      <c r="O3" s="34"/>
      <c r="P3" s="102"/>
      <c r="Q3" s="34"/>
      <c r="R3" s="102"/>
    </row>
    <row r="4" spans="1:18" ht="15.75" customHeight="1" x14ac:dyDescent="0.35">
      <c r="A4" s="34" t="s">
        <v>1986</v>
      </c>
      <c r="B4" s="34" t="s">
        <v>1986</v>
      </c>
      <c r="C4" s="20" t="s">
        <v>71</v>
      </c>
      <c r="D4" s="34">
        <v>42</v>
      </c>
      <c r="E4" s="34">
        <v>6900</v>
      </c>
      <c r="F4" s="254">
        <v>0.15</v>
      </c>
      <c r="G4" s="174" t="s">
        <v>601</v>
      </c>
      <c r="H4" s="34" t="s">
        <v>1643</v>
      </c>
      <c r="I4" s="34">
        <v>30</v>
      </c>
      <c r="J4" s="104" t="str">
        <f>HYPERLINK("https://www.examplebusiness.com/team/mike-rogers-1","https://www.examplebusiness.com/team/mike-rogers-1")</f>
        <v>https://www.examplebusiness.com/team/mike-rogers-1</v>
      </c>
      <c r="K4" s="34" t="s">
        <v>1643</v>
      </c>
      <c r="L4" s="34" t="s">
        <v>1643</v>
      </c>
      <c r="M4" s="34"/>
      <c r="N4" s="34"/>
      <c r="O4" s="34"/>
      <c r="P4" s="102"/>
      <c r="Q4" s="34"/>
      <c r="R4" s="102"/>
    </row>
    <row r="5" spans="1:18" ht="15.75" customHeight="1" x14ac:dyDescent="0.35">
      <c r="A5" s="34" t="s">
        <v>1988</v>
      </c>
      <c r="B5" s="34" t="s">
        <v>1986</v>
      </c>
      <c r="C5" s="20" t="s">
        <v>72</v>
      </c>
      <c r="D5" s="34">
        <v>48</v>
      </c>
      <c r="E5" s="34">
        <v>5050</v>
      </c>
      <c r="F5" s="254">
        <v>2</v>
      </c>
      <c r="G5" s="174" t="s">
        <v>582</v>
      </c>
      <c r="H5" s="34" t="s">
        <v>1643</v>
      </c>
      <c r="I5" s="34">
        <v>89</v>
      </c>
      <c r="J5" s="104" t="str">
        <f>HYPERLINK("https://www.examplebusiness.com/resource-center/tax/how-income-taxes-work","https://www.examplebusiness.com/resource-center/tax/how-income-taxes-work")</f>
        <v>https://www.examplebusiness.com/resource-center/tax/how-income-taxes-work</v>
      </c>
      <c r="K5" s="34" t="s">
        <v>1643</v>
      </c>
      <c r="L5" s="34" t="s">
        <v>1643</v>
      </c>
      <c r="M5" s="34"/>
      <c r="N5" s="34"/>
      <c r="O5" s="34"/>
      <c r="P5" s="102"/>
      <c r="Q5" s="34"/>
      <c r="R5" s="102"/>
    </row>
    <row r="6" spans="1:18" ht="15.75" customHeight="1" x14ac:dyDescent="0.35">
      <c r="A6" s="34" t="s">
        <v>1988</v>
      </c>
      <c r="B6" s="34" t="s">
        <v>1986</v>
      </c>
      <c r="C6" s="20" t="s">
        <v>73</v>
      </c>
      <c r="D6" s="34">
        <v>60</v>
      </c>
      <c r="E6" s="34">
        <v>4990</v>
      </c>
      <c r="F6" s="254">
        <v>2</v>
      </c>
      <c r="G6" s="174" t="s">
        <v>640</v>
      </c>
      <c r="H6" s="34" t="s">
        <v>1643</v>
      </c>
      <c r="I6" s="34">
        <v>88</v>
      </c>
      <c r="J6" s="104" t="str">
        <f>HYPERLINK("https://www.examplebusiness.com/resource-center/tax/how-income-taxes-work","https://www.examplebusiness.com/resource-center/tax/how-income-taxes-work")</f>
        <v>https://www.examplebusiness.com/resource-center/tax/how-income-taxes-work</v>
      </c>
      <c r="K6" s="34" t="s">
        <v>1643</v>
      </c>
      <c r="L6" s="34" t="s">
        <v>1643</v>
      </c>
      <c r="M6" s="34"/>
      <c r="N6" s="34"/>
      <c r="O6" s="34"/>
      <c r="P6" s="102"/>
      <c r="Q6" s="34"/>
      <c r="R6" s="102"/>
    </row>
    <row r="7" spans="1:18" ht="15.75" customHeight="1" x14ac:dyDescent="0.35">
      <c r="A7" s="34" t="s">
        <v>1988</v>
      </c>
      <c r="B7" s="34" t="s">
        <v>1986</v>
      </c>
      <c r="C7" s="20" t="s">
        <v>75</v>
      </c>
      <c r="D7" s="34">
        <v>49</v>
      </c>
      <c r="E7" s="34">
        <v>4960</v>
      </c>
      <c r="F7" s="254">
        <v>2</v>
      </c>
      <c r="G7" s="174" t="s">
        <v>582</v>
      </c>
      <c r="H7" s="34" t="s">
        <v>1643</v>
      </c>
      <c r="I7" s="34">
        <v>97</v>
      </c>
      <c r="J7" s="104" t="str">
        <f>HYPERLINK("https://www.examplebusiness.com/resource-center/tax/how-income-taxes-work","https://www.examplebusiness.com/resource-center/tax/how-income-taxes-work")</f>
        <v>https://www.examplebusiness.com/resource-center/tax/how-income-taxes-work</v>
      </c>
      <c r="K7" s="34" t="s">
        <v>1643</v>
      </c>
      <c r="L7" s="34" t="s">
        <v>1643</v>
      </c>
      <c r="M7" s="34"/>
      <c r="N7" s="34"/>
      <c r="O7" s="34"/>
      <c r="P7" s="102"/>
      <c r="Q7" s="34"/>
      <c r="R7" s="102"/>
    </row>
    <row r="8" spans="1:18" ht="15.75" customHeight="1" x14ac:dyDescent="0.35">
      <c r="A8" s="34" t="s">
        <v>1986</v>
      </c>
      <c r="B8" s="34" t="s">
        <v>1987</v>
      </c>
      <c r="C8" s="20" t="s">
        <v>76</v>
      </c>
      <c r="D8" s="34">
        <v>63</v>
      </c>
      <c r="E8" s="34">
        <v>4000</v>
      </c>
      <c r="F8" s="254">
        <v>15.54</v>
      </c>
      <c r="G8" s="174" t="s">
        <v>603</v>
      </c>
      <c r="H8" s="34" t="s">
        <v>1643</v>
      </c>
      <c r="I8" s="34">
        <v>61</v>
      </c>
      <c r="J8" s="104" t="str">
        <f>HYPERLINK("https://www.examplebusiness.com/blog/socially-responsible-investing","https://www.examplebusiness.com/blog/socially-responsible-investing")</f>
        <v>https://www.examplebusiness.com/blog/socially-responsible-investing</v>
      </c>
      <c r="K8" s="34" t="s">
        <v>1643</v>
      </c>
      <c r="L8" s="34" t="s">
        <v>1643</v>
      </c>
      <c r="M8" s="34"/>
      <c r="N8" s="34"/>
      <c r="O8" s="34"/>
      <c r="P8" s="102"/>
      <c r="Q8" s="34"/>
      <c r="R8" s="102"/>
    </row>
    <row r="9" spans="1:18" ht="15.75" customHeight="1" x14ac:dyDescent="0.35">
      <c r="A9" s="34" t="s">
        <v>1988</v>
      </c>
      <c r="B9" s="34" t="s">
        <v>1986</v>
      </c>
      <c r="C9" s="20" t="s">
        <v>78</v>
      </c>
      <c r="D9" s="34">
        <v>42</v>
      </c>
      <c r="E9" s="34">
        <v>3950</v>
      </c>
      <c r="F9" s="254">
        <v>7.93</v>
      </c>
      <c r="G9" s="174" t="s">
        <v>605</v>
      </c>
      <c r="H9" s="34" t="s">
        <v>1643</v>
      </c>
      <c r="I9" s="34">
        <v>58</v>
      </c>
      <c r="J9" s="104" t="str">
        <f>HYPERLINK("https://www.examplebusiness.com/resource-center/tax/how-income-taxes-work","https://www.examplebusiness.com/resource-center/tax/how-income-taxes-work")</f>
        <v>https://www.examplebusiness.com/resource-center/tax/how-income-taxes-work</v>
      </c>
      <c r="K9" s="34" t="s">
        <v>1643</v>
      </c>
      <c r="L9" s="34" t="s">
        <v>1643</v>
      </c>
      <c r="M9" s="34"/>
      <c r="N9" s="34"/>
      <c r="O9" s="34"/>
      <c r="P9" s="102"/>
      <c r="Q9" s="34"/>
      <c r="R9" s="102"/>
    </row>
    <row r="10" spans="1:18" ht="15.75" customHeight="1" x14ac:dyDescent="0.35">
      <c r="A10" s="34" t="s">
        <v>1986</v>
      </c>
      <c r="B10" s="34" t="s">
        <v>1986</v>
      </c>
      <c r="C10" s="20" t="s">
        <v>79</v>
      </c>
      <c r="D10" s="34">
        <v>12</v>
      </c>
      <c r="E10" s="34">
        <v>2750</v>
      </c>
      <c r="F10" s="254">
        <v>0.21</v>
      </c>
      <c r="G10" s="174" t="s">
        <v>635</v>
      </c>
      <c r="H10" s="34" t="s">
        <v>1643</v>
      </c>
      <c r="I10" s="34">
        <v>82</v>
      </c>
      <c r="J10" s="104" t="str">
        <f>HYPERLINK("https://www.examplebusiness.com/team/jeff-thompson-1","https://www.examplebusiness.com/team/jeff-thompson-1")</f>
        <v>https://www.examplebusiness.com/team/jeff-thompson-1</v>
      </c>
      <c r="K10" s="34" t="s">
        <v>1643</v>
      </c>
      <c r="L10" s="34" t="s">
        <v>1643</v>
      </c>
      <c r="M10" s="34"/>
      <c r="N10" s="34"/>
      <c r="O10" s="34"/>
      <c r="P10" s="102"/>
      <c r="Q10" s="34"/>
      <c r="R10" s="102"/>
    </row>
    <row r="11" spans="1:18" ht="15.75" customHeight="1" x14ac:dyDescent="0.35">
      <c r="A11" s="34" t="s">
        <v>1988</v>
      </c>
      <c r="B11" s="34" t="s">
        <v>1986</v>
      </c>
      <c r="C11" s="20" t="s">
        <v>80</v>
      </c>
      <c r="D11" s="34">
        <v>45</v>
      </c>
      <c r="E11" s="34">
        <v>2450</v>
      </c>
      <c r="F11" s="254">
        <v>3.17</v>
      </c>
      <c r="G11" s="174" t="s">
        <v>607</v>
      </c>
      <c r="H11" s="34" t="s">
        <v>1643</v>
      </c>
      <c r="I11" s="34">
        <v>49</v>
      </c>
      <c r="J11" s="104" t="str">
        <f>HYPERLINK("https://www.examplebusiness.com/resource-center/tax/how-income-taxes-work","https://www.examplebusiness.com/resource-center/tax/how-income-taxes-work")</f>
        <v>https://www.examplebusiness.com/resource-center/tax/how-income-taxes-work</v>
      </c>
      <c r="K11" s="34" t="s">
        <v>1643</v>
      </c>
      <c r="L11" s="34" t="s">
        <v>1643</v>
      </c>
      <c r="M11" s="34"/>
      <c r="N11" s="34"/>
      <c r="O11" s="34"/>
      <c r="P11" s="102"/>
      <c r="Q11" s="34"/>
      <c r="R11" s="102"/>
    </row>
    <row r="12" spans="1:18" ht="15.75" customHeight="1" x14ac:dyDescent="0.35">
      <c r="A12" s="34" t="s">
        <v>1986</v>
      </c>
      <c r="B12" s="34" t="s">
        <v>1986</v>
      </c>
      <c r="C12" s="20" t="s">
        <v>81</v>
      </c>
      <c r="D12" s="34">
        <v>62</v>
      </c>
      <c r="E12" s="34">
        <v>2350</v>
      </c>
      <c r="F12" s="254">
        <v>3.42</v>
      </c>
      <c r="G12" s="174" t="s">
        <v>594</v>
      </c>
      <c r="H12" s="34" t="s">
        <v>1643</v>
      </c>
      <c r="I12" s="34">
        <v>72</v>
      </c>
      <c r="J12" s="104" t="str">
        <f>HYPERLINK("https://www.examplebusiness.com/resource-center/tax/understanding-marginal-income-tax-brackets","https://www.examplebusiness.com/resource-center/tax/understanding-marginal-income-tax-brackets")</f>
        <v>https://www.examplebusiness.com/resource-center/tax/understanding-marginal-income-tax-brackets</v>
      </c>
      <c r="K12" s="34" t="s">
        <v>1643</v>
      </c>
      <c r="L12" s="34" t="s">
        <v>1643</v>
      </c>
      <c r="M12" s="34"/>
      <c r="N12" s="34"/>
      <c r="O12" s="34"/>
      <c r="P12" s="102"/>
      <c r="Q12" s="34"/>
      <c r="R12" s="102"/>
    </row>
    <row r="13" spans="1:18" ht="15.75" customHeight="1" x14ac:dyDescent="0.35">
      <c r="A13" s="34" t="s">
        <v>1988</v>
      </c>
      <c r="B13" s="34" t="s">
        <v>1986</v>
      </c>
      <c r="C13" s="20" t="s">
        <v>82</v>
      </c>
      <c r="D13" s="34">
        <v>34</v>
      </c>
      <c r="E13" s="34">
        <v>2300</v>
      </c>
      <c r="F13" s="254">
        <v>7.93</v>
      </c>
      <c r="G13" s="174" t="s">
        <v>649</v>
      </c>
      <c r="H13" s="34" t="s">
        <v>1643</v>
      </c>
      <c r="I13" s="34">
        <v>86</v>
      </c>
      <c r="J13" s="104" t="str">
        <f>HYPERLINK("https://www.examplebusiness.com/resource-center/tax/how-income-taxes-work","https://www.examplebusiness.com/resource-center/tax/how-income-taxes-work")</f>
        <v>https://www.examplebusiness.com/resource-center/tax/how-income-taxes-work</v>
      </c>
      <c r="K13" s="34" t="s">
        <v>1643</v>
      </c>
      <c r="L13" s="34" t="s">
        <v>1643</v>
      </c>
      <c r="M13" s="34"/>
      <c r="N13" s="34"/>
      <c r="O13" s="34"/>
      <c r="P13" s="102"/>
      <c r="Q13" s="34"/>
      <c r="R13" s="102"/>
    </row>
    <row r="14" spans="1:18" ht="15.75" customHeight="1" x14ac:dyDescent="0.35">
      <c r="A14" s="34" t="s">
        <v>1989</v>
      </c>
      <c r="B14" s="34" t="s">
        <v>1990</v>
      </c>
      <c r="C14" s="20" t="s">
        <v>83</v>
      </c>
      <c r="D14" s="34">
        <v>63</v>
      </c>
      <c r="E14" s="34">
        <v>2210</v>
      </c>
      <c r="F14" s="254">
        <v>15.664999999999999</v>
      </c>
      <c r="G14" s="174" t="s">
        <v>1991</v>
      </c>
      <c r="H14" s="34" t="s">
        <v>1992</v>
      </c>
      <c r="I14" s="34" t="s">
        <v>1992</v>
      </c>
      <c r="J14" s="20" t="s">
        <v>1992</v>
      </c>
      <c r="K14" s="34" t="s">
        <v>1992</v>
      </c>
      <c r="L14" s="34" t="s">
        <v>1992</v>
      </c>
      <c r="M14" s="34"/>
      <c r="N14" s="34"/>
      <c r="O14" s="34"/>
      <c r="P14" s="102"/>
      <c r="Q14" s="34"/>
      <c r="R14" s="102"/>
    </row>
    <row r="15" spans="1:18" ht="15.75" customHeight="1" x14ac:dyDescent="0.35">
      <c r="A15" s="34" t="s">
        <v>1986</v>
      </c>
      <c r="B15" s="34" t="s">
        <v>1986</v>
      </c>
      <c r="C15" s="20" t="s">
        <v>84</v>
      </c>
      <c r="D15" s="34">
        <v>1</v>
      </c>
      <c r="E15" s="34">
        <v>2200</v>
      </c>
      <c r="F15" s="254">
        <v>0</v>
      </c>
      <c r="G15" s="174" t="s">
        <v>633</v>
      </c>
      <c r="H15" s="34" t="s">
        <v>1643</v>
      </c>
      <c r="I15" s="34">
        <v>75</v>
      </c>
      <c r="J15" s="104" t="str">
        <f>HYPERLINK("https://www.examplebusiness.com/blog/end-of-year-eoy-deadlines-checklist","https://www.examplebusiness.com/blog/end-of-year-eoy-deadlines-checklist")</f>
        <v>https://www.examplebusiness.com/blog/end-of-year-eoy-deadlines-checklist</v>
      </c>
      <c r="K15" s="34" t="s">
        <v>1643</v>
      </c>
      <c r="L15" s="34" t="s">
        <v>1643</v>
      </c>
      <c r="M15" s="34"/>
      <c r="N15" s="34"/>
      <c r="O15" s="34"/>
      <c r="P15" s="102"/>
      <c r="Q15" s="34"/>
      <c r="R15" s="102"/>
    </row>
    <row r="16" spans="1:18" ht="15.75" customHeight="1" x14ac:dyDescent="0.35">
      <c r="A16" s="34" t="s">
        <v>1986</v>
      </c>
      <c r="B16" s="34" t="s">
        <v>1986</v>
      </c>
      <c r="C16" s="20" t="s">
        <v>85</v>
      </c>
      <c r="D16" s="34">
        <v>59</v>
      </c>
      <c r="E16" s="34">
        <v>2050</v>
      </c>
      <c r="F16" s="254">
        <v>1.18</v>
      </c>
      <c r="G16" s="174" t="s">
        <v>640</v>
      </c>
      <c r="H16" s="34" t="s">
        <v>1643</v>
      </c>
      <c r="I16" s="34">
        <v>76</v>
      </c>
      <c r="J16" s="104" t="str">
        <f>HYPERLINK("https://www.examplebusiness.com/blog/three-steps-to-build-your-savings","https://www.examplebusiness.com/blog/three-steps-to-build-your-savings")</f>
        <v>https://www.examplebusiness.com/blog/three-steps-to-build-your-savings</v>
      </c>
      <c r="K16" s="34" t="s">
        <v>1643</v>
      </c>
      <c r="L16" s="34" t="s">
        <v>1643</v>
      </c>
      <c r="M16" s="34"/>
      <c r="N16" s="34"/>
      <c r="O16" s="34"/>
      <c r="P16" s="102"/>
      <c r="Q16" s="34"/>
      <c r="R16" s="102"/>
    </row>
    <row r="17" spans="1:18" ht="15.75" customHeight="1" x14ac:dyDescent="0.35">
      <c r="A17" s="34" t="s">
        <v>1986</v>
      </c>
      <c r="B17" s="34" t="s">
        <v>1986</v>
      </c>
      <c r="C17" s="20" t="s">
        <v>86</v>
      </c>
      <c r="D17" s="34">
        <v>45</v>
      </c>
      <c r="E17" s="34">
        <v>1850</v>
      </c>
      <c r="F17" s="254">
        <v>0.99</v>
      </c>
      <c r="G17" s="174" t="s">
        <v>613</v>
      </c>
      <c r="H17" s="34" t="s">
        <v>1643</v>
      </c>
      <c r="I17" s="34">
        <v>79</v>
      </c>
      <c r="J17" s="104" t="str">
        <f>HYPERLINK("https://www.examplebusiness.com/resource-center/retirement/social-security-the-64000-dollar-question","https://www.examplebusiness.com/resource-center/retirement/social-security-the-64000-dollar-question")</f>
        <v>https://www.examplebusiness.com/resource-center/retirement/social-security-the-64000-dollar-question</v>
      </c>
      <c r="K17" s="34" t="s">
        <v>1643</v>
      </c>
      <c r="L17" s="34" t="s">
        <v>1643</v>
      </c>
      <c r="M17" s="34"/>
      <c r="N17" s="34"/>
      <c r="O17" s="34"/>
      <c r="P17" s="102"/>
      <c r="Q17" s="34"/>
      <c r="R17" s="102"/>
    </row>
    <row r="18" spans="1:18" ht="15.75" customHeight="1" x14ac:dyDescent="0.35">
      <c r="A18" s="34" t="s">
        <v>1993</v>
      </c>
      <c r="B18" s="34" t="s">
        <v>1987</v>
      </c>
      <c r="C18" s="20" t="s">
        <v>87</v>
      </c>
      <c r="D18" s="34">
        <v>60</v>
      </c>
      <c r="E18" s="34">
        <v>1850</v>
      </c>
      <c r="F18" s="254">
        <v>15.54</v>
      </c>
      <c r="G18" s="174" t="s">
        <v>652</v>
      </c>
      <c r="H18" s="34" t="s">
        <v>1643</v>
      </c>
      <c r="I18" s="34">
        <v>85</v>
      </c>
      <c r="J18" s="104" t="str">
        <f>HYPERLINK("https://www.examplebusiness.com/blog/socially-responsible-investing","https://www.examplebusiness.com/blog/socially-responsible-investing")</f>
        <v>https://www.examplebusiness.com/blog/socially-responsible-investing</v>
      </c>
      <c r="K18" s="34" t="s">
        <v>1643</v>
      </c>
      <c r="L18" s="34" t="s">
        <v>1643</v>
      </c>
      <c r="M18" s="34"/>
      <c r="N18" s="34"/>
      <c r="O18" s="34"/>
      <c r="P18" s="102"/>
      <c r="Q18" s="34"/>
      <c r="R18" s="102"/>
    </row>
    <row r="19" spans="1:18" ht="15.75" customHeight="1" x14ac:dyDescent="0.35">
      <c r="A19" s="34" t="s">
        <v>1986</v>
      </c>
      <c r="B19" s="34" t="s">
        <v>1986</v>
      </c>
      <c r="C19" s="20" t="s">
        <v>88</v>
      </c>
      <c r="D19" s="34">
        <v>25</v>
      </c>
      <c r="E19" s="34">
        <v>1850</v>
      </c>
      <c r="F19" s="254">
        <v>0.2</v>
      </c>
      <c r="G19" s="174" t="s">
        <v>594</v>
      </c>
      <c r="H19" s="34" t="s">
        <v>1643</v>
      </c>
      <c r="I19" s="34">
        <v>98</v>
      </c>
      <c r="J19" s="104" t="str">
        <f>HYPERLINK("https://www.examplebusiness.com/","https://www.examplebusiness.com/")</f>
        <v>https://www.examplebusiness.com/</v>
      </c>
      <c r="K19" s="34" t="s">
        <v>1643</v>
      </c>
      <c r="L19" s="34" t="s">
        <v>1643</v>
      </c>
      <c r="M19" s="34"/>
      <c r="N19" s="34"/>
      <c r="O19" s="34"/>
      <c r="P19" s="102"/>
      <c r="Q19" s="34"/>
      <c r="R19" s="102"/>
    </row>
    <row r="20" spans="1:18" ht="15.75" customHeight="1" x14ac:dyDescent="0.35">
      <c r="A20" s="34" t="s">
        <v>1993</v>
      </c>
      <c r="B20" s="34" t="s">
        <v>1987</v>
      </c>
      <c r="C20" s="20" t="s">
        <v>89</v>
      </c>
      <c r="D20" s="34">
        <v>61</v>
      </c>
      <c r="E20" s="34">
        <v>1825</v>
      </c>
      <c r="F20" s="254">
        <v>13.28</v>
      </c>
      <c r="G20" s="174" t="s">
        <v>621</v>
      </c>
      <c r="H20" s="34" t="s">
        <v>1643</v>
      </c>
      <c r="I20" s="34">
        <v>56</v>
      </c>
      <c r="J20" s="104" t="str">
        <f>HYPERLINK("https://www.examplebusiness.com/blog/socially-responsible-investing","https://www.examplebusiness.com/blog/socially-responsible-investing")</f>
        <v>https://www.examplebusiness.com/blog/socially-responsible-investing</v>
      </c>
      <c r="K20" s="34" t="s">
        <v>1643</v>
      </c>
      <c r="L20" s="34" t="s">
        <v>1643</v>
      </c>
      <c r="M20" s="34"/>
      <c r="N20" s="34"/>
      <c r="O20" s="34"/>
      <c r="P20" s="102"/>
      <c r="Q20" s="34"/>
      <c r="R20" s="102"/>
    </row>
    <row r="21" spans="1:18" ht="15.75" customHeight="1" x14ac:dyDescent="0.35">
      <c r="A21" s="34" t="s">
        <v>1986</v>
      </c>
      <c r="B21" s="34" t="s">
        <v>1986</v>
      </c>
      <c r="C21" s="20" t="s">
        <v>90</v>
      </c>
      <c r="D21" s="34">
        <v>3</v>
      </c>
      <c r="E21" s="34">
        <v>1815</v>
      </c>
      <c r="F21" s="254">
        <v>3.27</v>
      </c>
      <c r="G21" s="174" t="s">
        <v>586</v>
      </c>
      <c r="H21" s="34" t="s">
        <v>1643</v>
      </c>
      <c r="I21" s="34">
        <v>68</v>
      </c>
      <c r="J21" s="104" t="str">
        <f>HYPERLINK("https://www.examplebusiness.com/","https://www.examplebusiness.com/")</f>
        <v>https://www.examplebusiness.com/</v>
      </c>
      <c r="K21" s="34" t="s">
        <v>1643</v>
      </c>
      <c r="L21" s="34" t="s">
        <v>1643</v>
      </c>
      <c r="M21" s="34"/>
      <c r="N21" s="34"/>
      <c r="O21" s="34"/>
      <c r="P21" s="102"/>
      <c r="Q21" s="34"/>
      <c r="R21" s="102"/>
    </row>
    <row r="22" spans="1:18" ht="15.75" customHeight="1" x14ac:dyDescent="0.35">
      <c r="A22" s="34" t="s">
        <v>1986</v>
      </c>
      <c r="B22" s="34" t="s">
        <v>1986</v>
      </c>
      <c r="C22" s="20" t="s">
        <v>91</v>
      </c>
      <c r="D22" s="34">
        <v>2</v>
      </c>
      <c r="E22" s="34">
        <v>1465</v>
      </c>
      <c r="F22" s="254">
        <v>0</v>
      </c>
      <c r="G22" s="174" t="s">
        <v>597</v>
      </c>
      <c r="H22" s="34" t="s">
        <v>1643</v>
      </c>
      <c r="I22" s="34">
        <v>30</v>
      </c>
      <c r="J22" s="104" t="str">
        <f>HYPERLINK("https://www.examplebusiness.com/resource-center/money/a-penny-saved-is-two-pennies-earned","https://www.examplebusiness.com/resource-center/money/a-penny-saved-is-two-pennies-earned")</f>
        <v>https://www.examplebusiness.com/resource-center/money/a-penny-saved-is-two-pennies-earned</v>
      </c>
      <c r="K22" s="34" t="s">
        <v>1643</v>
      </c>
      <c r="L22" s="34" t="s">
        <v>1643</v>
      </c>
      <c r="M22" s="34"/>
      <c r="N22" s="34"/>
      <c r="O22" s="34"/>
      <c r="P22" s="102"/>
      <c r="Q22" s="34"/>
      <c r="R22" s="102"/>
    </row>
    <row r="23" spans="1:18" ht="15.75" customHeight="1" x14ac:dyDescent="0.35">
      <c r="A23" s="34" t="s">
        <v>1986</v>
      </c>
      <c r="B23" s="34" t="s">
        <v>1986</v>
      </c>
      <c r="C23" s="20" t="s">
        <v>92</v>
      </c>
      <c r="D23" s="34">
        <v>53</v>
      </c>
      <c r="E23" s="34">
        <v>1200</v>
      </c>
      <c r="F23" s="254">
        <v>1.65</v>
      </c>
      <c r="G23" s="174" t="s">
        <v>633</v>
      </c>
      <c r="H23" s="34" t="s">
        <v>1643</v>
      </c>
      <c r="I23" s="34">
        <v>44</v>
      </c>
      <c r="J23" s="104" t="str">
        <f>HYPERLINK("https://www.examplebusiness.com/resource-center/insurance/how-does-whole-life-insurance-work","https://www.examplebusiness.com/resource-center/insurance/how-does-whole-life-insurance-work")</f>
        <v>https://www.examplebusiness.com/resource-center/insurance/how-does-whole-life-insurance-work</v>
      </c>
      <c r="K23" s="34" t="s">
        <v>1643</v>
      </c>
      <c r="L23" s="34" t="s">
        <v>1643</v>
      </c>
      <c r="M23" s="34"/>
      <c r="N23" s="34"/>
      <c r="O23" s="34"/>
      <c r="P23" s="102"/>
      <c r="Q23" s="34"/>
      <c r="R23" s="102"/>
    </row>
    <row r="24" spans="1:18" ht="16.5" x14ac:dyDescent="0.35">
      <c r="A24" s="34" t="s">
        <v>1989</v>
      </c>
      <c r="B24" s="34" t="s">
        <v>1994</v>
      </c>
      <c r="C24" s="20" t="s">
        <v>93</v>
      </c>
      <c r="D24" s="34">
        <v>48</v>
      </c>
      <c r="E24" s="34">
        <v>1100</v>
      </c>
      <c r="F24" s="254">
        <v>16.984999999999999</v>
      </c>
      <c r="G24" s="174" t="s">
        <v>1995</v>
      </c>
      <c r="H24" s="34" t="s">
        <v>1992</v>
      </c>
      <c r="I24" s="34" t="s">
        <v>1992</v>
      </c>
      <c r="J24" s="20" t="s">
        <v>1992</v>
      </c>
      <c r="K24" s="34" t="s">
        <v>1992</v>
      </c>
      <c r="L24" s="34" t="s">
        <v>1992</v>
      </c>
      <c r="M24" s="34"/>
      <c r="N24" s="34"/>
      <c r="O24" s="34"/>
      <c r="P24" s="102"/>
      <c r="Q24" s="34"/>
      <c r="R24" s="102"/>
    </row>
    <row r="25" spans="1:18" ht="16.5" x14ac:dyDescent="0.35">
      <c r="A25" s="34" t="s">
        <v>1986</v>
      </c>
      <c r="B25" s="34" t="s">
        <v>1986</v>
      </c>
      <c r="C25" s="20" t="s">
        <v>94</v>
      </c>
      <c r="D25" s="34">
        <v>32</v>
      </c>
      <c r="E25" s="34">
        <v>1050</v>
      </c>
      <c r="F25" s="254">
        <v>4.83</v>
      </c>
      <c r="G25" s="174" t="s">
        <v>568</v>
      </c>
      <c r="H25" s="34" t="s">
        <v>1643</v>
      </c>
      <c r="I25" s="34">
        <v>65</v>
      </c>
      <c r="J25" s="104" t="str">
        <f>HYPERLINK("http://www.examplebusiness.com/resource-center/money/spotting-credit-trouble","http://www.examplebusiness.com/resource-center/money/spotting-credit-trouble")</f>
        <v>http://www.examplebusiness.com/resource-center/money/spotting-credit-trouble</v>
      </c>
      <c r="K25" s="34" t="s">
        <v>1643</v>
      </c>
      <c r="L25" s="34" t="s">
        <v>1643</v>
      </c>
      <c r="M25" s="34"/>
      <c r="N25" s="34"/>
      <c r="O25" s="34"/>
      <c r="P25" s="102"/>
      <c r="Q25" s="34"/>
      <c r="R25" s="102"/>
    </row>
    <row r="26" spans="1:18" ht="16.5" x14ac:dyDescent="0.35">
      <c r="A26" s="34" t="s">
        <v>1986</v>
      </c>
      <c r="B26" s="34" t="s">
        <v>1986</v>
      </c>
      <c r="C26" s="20" t="s">
        <v>95</v>
      </c>
      <c r="D26" s="34">
        <v>30</v>
      </c>
      <c r="E26" s="34">
        <v>965</v>
      </c>
      <c r="F26" s="254">
        <v>14.85</v>
      </c>
      <c r="G26" s="174" t="s">
        <v>588</v>
      </c>
      <c r="H26" s="34" t="s">
        <v>1643</v>
      </c>
      <c r="I26" s="34">
        <v>97</v>
      </c>
      <c r="J26" s="104" t="str">
        <f>HYPERLINK("https://www.examplebusiness.com/resource-center/retirement/what-is-a-roth-401k","https://www.examplebusiness.com/resource-center/retirement/what-is-a-roth-401k")</f>
        <v>https://www.examplebusiness.com/resource-center/retirement/what-is-a-roth-401k</v>
      </c>
      <c r="K26" s="34" t="s">
        <v>1643</v>
      </c>
      <c r="L26" s="34" t="s">
        <v>1643</v>
      </c>
      <c r="M26" s="34"/>
      <c r="N26" s="34"/>
      <c r="O26" s="34"/>
      <c r="P26" s="102"/>
      <c r="Q26" s="34"/>
      <c r="R26" s="102"/>
    </row>
    <row r="27" spans="1:18" ht="16.5" x14ac:dyDescent="0.35">
      <c r="A27" s="34" t="s">
        <v>1986</v>
      </c>
      <c r="B27" s="34" t="s">
        <v>1986</v>
      </c>
      <c r="C27" s="20" t="s">
        <v>96</v>
      </c>
      <c r="D27" s="34">
        <v>35</v>
      </c>
      <c r="E27" s="34">
        <v>875</v>
      </c>
      <c r="F27" s="254">
        <v>3.64</v>
      </c>
      <c r="G27" s="174" t="s">
        <v>608</v>
      </c>
      <c r="H27" s="34" t="s">
        <v>1643</v>
      </c>
      <c r="I27" s="34">
        <v>45</v>
      </c>
      <c r="J27" s="104" t="str">
        <f>HYPERLINK("https://www.examplebusiness.com/resource-center/retirement/what-is-a-roth-401k","https://www.examplebusiness.com/resource-center/retirement/what-is-a-roth-401k")</f>
        <v>https://www.examplebusiness.com/resource-center/retirement/what-is-a-roth-401k</v>
      </c>
      <c r="K27" s="34" t="s">
        <v>1643</v>
      </c>
      <c r="L27" s="34" t="s">
        <v>1643</v>
      </c>
      <c r="M27" s="34"/>
      <c r="N27" s="34"/>
      <c r="O27" s="34"/>
      <c r="P27" s="102"/>
      <c r="Q27" s="34"/>
      <c r="R27" s="102"/>
    </row>
    <row r="28" spans="1:18" ht="16.5" x14ac:dyDescent="0.35">
      <c r="A28" s="34" t="s">
        <v>1986</v>
      </c>
      <c r="B28" s="34" t="s">
        <v>1986</v>
      </c>
      <c r="C28" s="20" t="s">
        <v>97</v>
      </c>
      <c r="D28" s="34">
        <v>64</v>
      </c>
      <c r="E28" s="34">
        <v>825</v>
      </c>
      <c r="F28" s="254">
        <v>1.18</v>
      </c>
      <c r="G28" s="174" t="s">
        <v>640</v>
      </c>
      <c r="H28" s="34" t="s">
        <v>1643</v>
      </c>
      <c r="I28" s="34">
        <v>92</v>
      </c>
      <c r="J28" s="104" t="str">
        <f>HYPERLINK("https://www.examplebusiness.com/resource-center/retirement/my-retirement-savings","https://www.examplebusiness.com/resource-center/retirement/my-retirement-savings")</f>
        <v>https://www.examplebusiness.com/resource-center/retirement/my-retirement-savings</v>
      </c>
      <c r="K28" s="34" t="s">
        <v>1643</v>
      </c>
      <c r="L28" s="34" t="s">
        <v>1643</v>
      </c>
      <c r="M28" s="34"/>
      <c r="N28" s="34"/>
      <c r="O28" s="34"/>
      <c r="P28" s="102"/>
      <c r="Q28" s="34"/>
      <c r="R28" s="102"/>
    </row>
    <row r="29" spans="1:18" ht="16.5" x14ac:dyDescent="0.35">
      <c r="A29" s="34" t="s">
        <v>1989</v>
      </c>
      <c r="B29" s="34" t="s">
        <v>1994</v>
      </c>
      <c r="C29" s="20" t="s">
        <v>98</v>
      </c>
      <c r="D29" s="34">
        <v>38</v>
      </c>
      <c r="E29" s="34">
        <v>810</v>
      </c>
      <c r="F29" s="254">
        <v>17.274999999999999</v>
      </c>
      <c r="G29" s="174" t="s">
        <v>1996</v>
      </c>
      <c r="H29" s="34" t="s">
        <v>1992</v>
      </c>
      <c r="I29" s="34" t="s">
        <v>1992</v>
      </c>
      <c r="J29" s="20" t="s">
        <v>1992</v>
      </c>
      <c r="K29" s="34" t="s">
        <v>1992</v>
      </c>
      <c r="L29" s="34" t="s">
        <v>1992</v>
      </c>
      <c r="M29" s="34"/>
      <c r="N29" s="34"/>
      <c r="O29" s="34"/>
      <c r="P29" s="102"/>
      <c r="Q29" s="34"/>
      <c r="R29" s="102"/>
    </row>
    <row r="30" spans="1:18" ht="16.5" x14ac:dyDescent="0.35">
      <c r="A30" s="34" t="s">
        <v>1988</v>
      </c>
      <c r="B30" s="34" t="s">
        <v>1986</v>
      </c>
      <c r="C30" s="20" t="s">
        <v>99</v>
      </c>
      <c r="D30" s="34">
        <v>42</v>
      </c>
      <c r="E30" s="34">
        <v>750</v>
      </c>
      <c r="F30" s="254">
        <v>6.66</v>
      </c>
      <c r="G30" s="174" t="s">
        <v>674</v>
      </c>
      <c r="H30" s="34" t="s">
        <v>1643</v>
      </c>
      <c r="I30" s="34">
        <v>82</v>
      </c>
      <c r="J30" s="104" t="str">
        <f>HYPERLINK("https://www.examplebusiness.com/resource-center/tax/how-income-taxes-work","https://www.examplebusiness.com/resource-center/tax/how-income-taxes-work")</f>
        <v>https://www.examplebusiness.com/resource-center/tax/how-income-taxes-work</v>
      </c>
      <c r="K30" s="34" t="s">
        <v>1643</v>
      </c>
      <c r="L30" s="34" t="s">
        <v>1643</v>
      </c>
      <c r="M30" s="34"/>
      <c r="N30" s="34"/>
      <c r="O30" s="34"/>
      <c r="P30" s="102"/>
      <c r="Q30" s="34"/>
      <c r="R30" s="102"/>
    </row>
    <row r="31" spans="1:18" ht="16.5" x14ac:dyDescent="0.35">
      <c r="A31" s="34" t="s">
        <v>1986</v>
      </c>
      <c r="B31" s="34" t="s">
        <v>1986</v>
      </c>
      <c r="C31" s="20" t="s">
        <v>100</v>
      </c>
      <c r="D31" s="34">
        <v>60</v>
      </c>
      <c r="E31" s="34">
        <v>680</v>
      </c>
      <c r="F31" s="254">
        <v>1.49</v>
      </c>
      <c r="G31" s="174" t="s">
        <v>634</v>
      </c>
      <c r="H31" s="34" t="s">
        <v>1643</v>
      </c>
      <c r="I31" s="34">
        <v>67</v>
      </c>
      <c r="J31" s="104" t="str">
        <f>HYPERLINK("https://www.examplebusiness.com/blog/is-a-depression-coming","https://www.examplebusiness.com/blog/is-a-depression-coming")</f>
        <v>https://www.examplebusiness.com/blog/is-a-depression-coming</v>
      </c>
      <c r="K31" s="34" t="s">
        <v>1643</v>
      </c>
      <c r="L31" s="34" t="s">
        <v>1643</v>
      </c>
      <c r="M31" s="34"/>
      <c r="N31" s="34"/>
      <c r="O31" s="34"/>
      <c r="P31" s="102"/>
      <c r="Q31" s="34"/>
      <c r="R31" s="102"/>
    </row>
    <row r="32" spans="1:18" ht="16.5" x14ac:dyDescent="0.35">
      <c r="A32" s="34" t="s">
        <v>1988</v>
      </c>
      <c r="B32" s="34" t="s">
        <v>1986</v>
      </c>
      <c r="C32" s="20" t="s">
        <v>101</v>
      </c>
      <c r="D32" s="34">
        <v>38</v>
      </c>
      <c r="E32" s="34">
        <v>675</v>
      </c>
      <c r="F32" s="254">
        <v>0.11</v>
      </c>
      <c r="G32" s="174" t="s">
        <v>627</v>
      </c>
      <c r="H32" s="34" t="s">
        <v>1643</v>
      </c>
      <c r="I32" s="34">
        <v>92</v>
      </c>
      <c r="J32" s="104" t="str">
        <f>HYPERLINK("https://www.examplebusiness.com/resource-center/money/life-and-death-of-a-20-dollar-bill","https://www.examplebusiness.com/resource-center/money/life-and-death-of-a-20-dollar-bill")</f>
        <v>https://www.examplebusiness.com/resource-center/money/life-and-death-of-a-20-dollar-bill</v>
      </c>
      <c r="K32" s="34" t="s">
        <v>1643</v>
      </c>
      <c r="L32" s="34" t="s">
        <v>1643</v>
      </c>
      <c r="M32" s="34"/>
      <c r="N32" s="34"/>
      <c r="O32" s="34"/>
      <c r="P32" s="102"/>
      <c r="Q32" s="34"/>
      <c r="R32" s="102"/>
    </row>
    <row r="33" spans="1:18" ht="16.5" x14ac:dyDescent="0.35">
      <c r="A33" s="34" t="s">
        <v>1986</v>
      </c>
      <c r="B33" s="34" t="s">
        <v>1986</v>
      </c>
      <c r="C33" s="20" t="s">
        <v>102</v>
      </c>
      <c r="D33" s="34">
        <v>6</v>
      </c>
      <c r="E33" s="34">
        <v>670</v>
      </c>
      <c r="F33" s="254">
        <v>0</v>
      </c>
      <c r="G33" s="174" t="s">
        <v>610</v>
      </c>
      <c r="H33" s="34" t="s">
        <v>1643</v>
      </c>
      <c r="I33" s="34">
        <v>64</v>
      </c>
      <c r="J33" s="104" t="str">
        <f>HYPERLINK("https://www.examplebusiness.com/resource-center/retirement/investment-strategies-for-retirement","https://www.examplebusiness.com/resource-center/retirement/investment-strategies-for-retirement")</f>
        <v>https://www.examplebusiness.com/resource-center/retirement/investment-strategies-for-retirement</v>
      </c>
      <c r="K33" s="34" t="s">
        <v>1643</v>
      </c>
      <c r="L33" s="34" t="s">
        <v>1643</v>
      </c>
      <c r="M33" s="34"/>
      <c r="N33" s="34"/>
      <c r="O33" s="34"/>
      <c r="P33" s="102"/>
      <c r="Q33" s="34"/>
      <c r="R33" s="102"/>
    </row>
    <row r="34" spans="1:18" ht="16.5" x14ac:dyDescent="0.35">
      <c r="A34" s="34" t="s">
        <v>1989</v>
      </c>
      <c r="B34" s="34" t="s">
        <v>1986</v>
      </c>
      <c r="C34" s="20" t="s">
        <v>103</v>
      </c>
      <c r="D34" s="34">
        <v>20</v>
      </c>
      <c r="E34" s="34">
        <v>670</v>
      </c>
      <c r="F34" s="254">
        <v>10.56</v>
      </c>
      <c r="G34" s="174" t="s">
        <v>662</v>
      </c>
      <c r="H34" s="34" t="s">
        <v>1643</v>
      </c>
      <c r="I34" s="34">
        <v>90</v>
      </c>
      <c r="J34" s="104" t="str">
        <f>HYPERLINK("https://www.examplebusiness.com/resource-center/lifestyle/should-you-choose-a-fixed-or-variable","https://www.examplebusiness.com/resource-center/lifestyle/should-you-choose-a-fixed-or-variable")</f>
        <v>https://www.examplebusiness.com/resource-center/lifestyle/should-you-choose-a-fixed-or-variable</v>
      </c>
      <c r="K34" s="34" t="s">
        <v>1643</v>
      </c>
      <c r="L34" s="34" t="s">
        <v>1643</v>
      </c>
      <c r="M34" s="34"/>
      <c r="N34" s="34"/>
      <c r="O34" s="34"/>
      <c r="P34" s="102"/>
      <c r="Q34" s="34"/>
      <c r="R34" s="102"/>
    </row>
    <row r="35" spans="1:18" ht="16.5" x14ac:dyDescent="0.35">
      <c r="A35" s="34" t="s">
        <v>1986</v>
      </c>
      <c r="B35" s="34" t="s">
        <v>1986</v>
      </c>
      <c r="C35" s="20" t="s">
        <v>104</v>
      </c>
      <c r="D35" s="34">
        <v>33</v>
      </c>
      <c r="E35" s="34">
        <v>640</v>
      </c>
      <c r="F35" s="254">
        <v>7.28</v>
      </c>
      <c r="G35" s="174" t="s">
        <v>572</v>
      </c>
      <c r="H35" s="34" t="s">
        <v>1643</v>
      </c>
      <c r="I35" s="34">
        <v>59</v>
      </c>
      <c r="J35" s="104" t="str">
        <f>HYPERLINK("https://www.examplebusiness.com/resource-center/insurance/how-does-whole-life-insurance-work","https://www.examplebusiness.com/resource-center/insurance/how-does-whole-life-insurance-work")</f>
        <v>https://www.examplebusiness.com/resource-center/insurance/how-does-whole-life-insurance-work</v>
      </c>
      <c r="K35" s="34" t="s">
        <v>1643</v>
      </c>
      <c r="L35" s="34" t="s">
        <v>1643</v>
      </c>
      <c r="M35" s="34"/>
      <c r="N35" s="34"/>
      <c r="O35" s="34"/>
      <c r="P35" s="102"/>
      <c r="Q35" s="34"/>
      <c r="R35" s="102"/>
    </row>
    <row r="36" spans="1:18" ht="16.5" x14ac:dyDescent="0.35">
      <c r="A36" s="34" t="s">
        <v>1986</v>
      </c>
      <c r="B36" s="34" t="s">
        <v>1986</v>
      </c>
      <c r="C36" s="20" t="s">
        <v>105</v>
      </c>
      <c r="D36" s="34">
        <v>9</v>
      </c>
      <c r="E36" s="34">
        <v>585</v>
      </c>
      <c r="F36" s="254">
        <v>7.06</v>
      </c>
      <c r="G36" s="174" t="s">
        <v>588</v>
      </c>
      <c r="H36" s="34" t="s">
        <v>1643</v>
      </c>
      <c r="I36" s="34">
        <v>67</v>
      </c>
      <c r="J36" s="104" t="str">
        <f>HYPERLINK("https://www.examplebusiness.com/tax-planning-strategies","https://www.examplebusiness.com/tax-planning-strategies")</f>
        <v>https://www.examplebusiness.com/tax-planning-strategies</v>
      </c>
      <c r="K36" s="34" t="s">
        <v>1643</v>
      </c>
      <c r="L36" s="34" t="s">
        <v>1643</v>
      </c>
      <c r="M36" s="34"/>
      <c r="N36" s="34"/>
      <c r="O36" s="34"/>
      <c r="P36" s="102"/>
      <c r="Q36" s="34"/>
      <c r="R36" s="102"/>
    </row>
    <row r="37" spans="1:18" ht="16.5" x14ac:dyDescent="0.35">
      <c r="A37" s="34" t="s">
        <v>1986</v>
      </c>
      <c r="B37" s="34" t="s">
        <v>1986</v>
      </c>
      <c r="C37" s="20" t="s">
        <v>106</v>
      </c>
      <c r="D37" s="34">
        <v>1</v>
      </c>
      <c r="E37" s="34">
        <v>565</v>
      </c>
      <c r="F37" s="254">
        <v>0.31</v>
      </c>
      <c r="G37" s="174" t="s">
        <v>583</v>
      </c>
      <c r="H37" s="34" t="s">
        <v>1643</v>
      </c>
      <c r="I37" s="34">
        <v>94</v>
      </c>
      <c r="J37" s="104" t="str">
        <f>HYPERLINK("https://www.examplebusiness.com/team/dan-mohoney-1","https://www.examplebusiness.com/team/dan-mohoney-1")</f>
        <v>https://www.examplebusiness.com/team/dan-mohoney-1</v>
      </c>
      <c r="K37" s="34" t="s">
        <v>1643</v>
      </c>
      <c r="L37" s="34" t="s">
        <v>1643</v>
      </c>
      <c r="M37" s="34"/>
      <c r="N37" s="34"/>
      <c r="O37" s="34"/>
      <c r="P37" s="102"/>
      <c r="Q37" s="34"/>
      <c r="R37" s="102"/>
    </row>
    <row r="38" spans="1:18" ht="16.5" x14ac:dyDescent="0.35">
      <c r="A38" s="34" t="s">
        <v>1989</v>
      </c>
      <c r="B38" s="34" t="s">
        <v>1994</v>
      </c>
      <c r="C38" s="20" t="s">
        <v>107</v>
      </c>
      <c r="D38" s="34">
        <v>2</v>
      </c>
      <c r="E38" s="34">
        <v>535</v>
      </c>
      <c r="F38" s="254">
        <v>10.199999999999999</v>
      </c>
      <c r="G38" s="174" t="s">
        <v>1997</v>
      </c>
      <c r="H38" s="34" t="s">
        <v>1992</v>
      </c>
      <c r="I38" s="34" t="s">
        <v>1992</v>
      </c>
      <c r="J38" s="20" t="s">
        <v>1992</v>
      </c>
      <c r="K38" s="34" t="s">
        <v>1992</v>
      </c>
      <c r="L38" s="34" t="s">
        <v>1992</v>
      </c>
      <c r="M38" s="34"/>
      <c r="N38" s="34"/>
      <c r="O38" s="34"/>
      <c r="P38" s="102"/>
      <c r="Q38" s="34"/>
      <c r="R38" s="102"/>
    </row>
    <row r="39" spans="1:18" ht="16.5" x14ac:dyDescent="0.35">
      <c r="A39" s="34" t="s">
        <v>1988</v>
      </c>
      <c r="B39" s="34" t="s">
        <v>1986</v>
      </c>
      <c r="C39" s="20" t="s">
        <v>108</v>
      </c>
      <c r="D39" s="34">
        <v>51</v>
      </c>
      <c r="E39" s="34">
        <v>530</v>
      </c>
      <c r="F39" s="254">
        <v>0.11</v>
      </c>
      <c r="G39" s="174" t="s">
        <v>612</v>
      </c>
      <c r="H39" s="34" t="s">
        <v>1643</v>
      </c>
      <c r="I39" s="34">
        <v>87</v>
      </c>
      <c r="J39" s="104" t="str">
        <f>HYPERLINK("https://www.examplebusiness.com/resource-center/money/life-and-death-of-a-20-dollar-bill","https://www.examplebusiness.com/resource-center/money/life-and-death-of-a-20-dollar-bill")</f>
        <v>https://www.examplebusiness.com/resource-center/money/life-and-death-of-a-20-dollar-bill</v>
      </c>
      <c r="K39" s="34" t="s">
        <v>1643</v>
      </c>
      <c r="L39" s="34" t="s">
        <v>1643</v>
      </c>
      <c r="M39" s="34"/>
      <c r="N39" s="34"/>
      <c r="O39" s="34"/>
      <c r="P39" s="102"/>
      <c r="Q39" s="34"/>
      <c r="R39" s="102"/>
    </row>
    <row r="40" spans="1:18" ht="16.5" x14ac:dyDescent="0.35">
      <c r="A40" s="34" t="s">
        <v>1986</v>
      </c>
      <c r="B40" s="34" t="s">
        <v>1987</v>
      </c>
      <c r="C40" s="20" t="s">
        <v>109</v>
      </c>
      <c r="D40" s="34">
        <v>61</v>
      </c>
      <c r="E40" s="34">
        <v>520</v>
      </c>
      <c r="F40" s="254">
        <v>14.91</v>
      </c>
      <c r="G40" s="174" t="s">
        <v>587</v>
      </c>
      <c r="H40" s="34" t="s">
        <v>1643</v>
      </c>
      <c r="I40" s="34">
        <v>29</v>
      </c>
      <c r="J40" s="104" t="str">
        <f>HYPERLINK("https://www.examplebusiness.com/blog/socially-responsible-investing","https://www.examplebusiness.com/blog/socially-responsible-investing")</f>
        <v>https://www.examplebusiness.com/blog/socially-responsible-investing</v>
      </c>
      <c r="K40" s="34" t="s">
        <v>1643</v>
      </c>
      <c r="L40" s="34" t="s">
        <v>1643</v>
      </c>
      <c r="M40" s="34"/>
      <c r="N40" s="34"/>
      <c r="O40" s="34"/>
      <c r="P40" s="102"/>
      <c r="Q40" s="34"/>
      <c r="R40" s="102"/>
    </row>
    <row r="41" spans="1:18" ht="16.5" x14ac:dyDescent="0.35">
      <c r="A41" s="34" t="s">
        <v>1989</v>
      </c>
      <c r="B41" s="34" t="s">
        <v>1994</v>
      </c>
      <c r="C41" s="20" t="s">
        <v>110</v>
      </c>
      <c r="D41" s="34">
        <v>43</v>
      </c>
      <c r="E41" s="34">
        <v>510</v>
      </c>
      <c r="F41" s="254">
        <v>30.509999999999998</v>
      </c>
      <c r="G41" s="174" t="s">
        <v>1998</v>
      </c>
      <c r="H41" s="34" t="s">
        <v>1992</v>
      </c>
      <c r="I41" s="34" t="s">
        <v>1992</v>
      </c>
      <c r="J41" s="20" t="s">
        <v>1992</v>
      </c>
      <c r="K41" s="34" t="s">
        <v>1992</v>
      </c>
      <c r="L41" s="34" t="s">
        <v>1992</v>
      </c>
      <c r="M41" s="34"/>
      <c r="N41" s="34"/>
      <c r="O41" s="34"/>
      <c r="P41" s="102"/>
      <c r="Q41" s="34"/>
      <c r="R41" s="102"/>
    </row>
    <row r="42" spans="1:18" ht="16.5" x14ac:dyDescent="0.35">
      <c r="A42" s="34" t="s">
        <v>1986</v>
      </c>
      <c r="B42" s="34" t="s">
        <v>1986</v>
      </c>
      <c r="C42" s="20" t="s">
        <v>111</v>
      </c>
      <c r="D42" s="34">
        <v>43</v>
      </c>
      <c r="E42" s="34">
        <v>490</v>
      </c>
      <c r="F42" s="254">
        <v>6.04</v>
      </c>
      <c r="G42" s="174" t="s">
        <v>624</v>
      </c>
      <c r="H42" s="34" t="s">
        <v>1643</v>
      </c>
      <c r="I42" s="34">
        <v>62</v>
      </c>
      <c r="J42" s="104" t="str">
        <f>HYPERLINK("https://www.examplebusiness.com/resource-center/lifestyle/should-you-choose-a-fixed-or-variable","https://www.examplebusiness.com/resource-center/lifestyle/should-you-choose-a-fixed-or-variable")</f>
        <v>https://www.examplebusiness.com/resource-center/lifestyle/should-you-choose-a-fixed-or-variable</v>
      </c>
      <c r="K42" s="34" t="s">
        <v>1643</v>
      </c>
      <c r="L42" s="34" t="s">
        <v>1643</v>
      </c>
      <c r="M42" s="34"/>
      <c r="N42" s="34"/>
      <c r="O42" s="34"/>
      <c r="P42" s="102"/>
      <c r="Q42" s="34"/>
      <c r="R42" s="102"/>
    </row>
    <row r="43" spans="1:18" ht="16.5" x14ac:dyDescent="0.35">
      <c r="A43" s="34" t="s">
        <v>1988</v>
      </c>
      <c r="B43" s="34" t="s">
        <v>1986</v>
      </c>
      <c r="C43" s="20" t="s">
        <v>112</v>
      </c>
      <c r="D43" s="34">
        <v>59</v>
      </c>
      <c r="E43" s="34">
        <v>485</v>
      </c>
      <c r="F43" s="254">
        <v>13.21</v>
      </c>
      <c r="G43" s="174" t="s">
        <v>612</v>
      </c>
      <c r="H43" s="34" t="s">
        <v>1643</v>
      </c>
      <c r="I43" s="34">
        <v>48</v>
      </c>
      <c r="J43" s="104" t="str">
        <f>HYPERLINK("https://www.examplebusiness.com/blog/when-will-the-recession-officially-start","https://www.examplebusiness.com/blog/when-will-the-recession-officially-start")</f>
        <v>https://www.examplebusiness.com/blog/when-will-the-recession-officially-start</v>
      </c>
      <c r="K43" s="34" t="s">
        <v>1643</v>
      </c>
      <c r="L43" s="34" t="s">
        <v>1643</v>
      </c>
      <c r="M43" s="34"/>
      <c r="N43" s="34"/>
      <c r="O43" s="34"/>
      <c r="P43" s="102"/>
      <c r="Q43" s="34"/>
      <c r="R43" s="102"/>
    </row>
    <row r="44" spans="1:18" ht="16.5" x14ac:dyDescent="0.35">
      <c r="A44" s="34" t="s">
        <v>1986</v>
      </c>
      <c r="B44" s="34" t="s">
        <v>1986</v>
      </c>
      <c r="C44" s="20" t="s">
        <v>113</v>
      </c>
      <c r="D44" s="34">
        <v>0</v>
      </c>
      <c r="E44" s="34">
        <v>485</v>
      </c>
      <c r="F44" s="254">
        <v>1.06</v>
      </c>
      <c r="G44" s="174" t="s">
        <v>584</v>
      </c>
      <c r="H44" s="34" t="s">
        <v>1643</v>
      </c>
      <c r="I44" s="34">
        <v>81</v>
      </c>
      <c r="J44" s="104" t="str">
        <f>HYPERLINK("https://www.examplebusiness.com/","https://www.examplebusiness.com/")</f>
        <v>https://www.examplebusiness.com/</v>
      </c>
      <c r="K44" s="34" t="s">
        <v>1643</v>
      </c>
      <c r="L44" s="34" t="s">
        <v>1643</v>
      </c>
      <c r="M44" s="34"/>
      <c r="N44" s="34"/>
      <c r="O44" s="34"/>
      <c r="P44" s="102"/>
      <c r="Q44" s="34"/>
      <c r="R44" s="102"/>
    </row>
    <row r="45" spans="1:18" ht="16.5" x14ac:dyDescent="0.35">
      <c r="A45" s="34" t="s">
        <v>1999</v>
      </c>
      <c r="B45" s="34" t="s">
        <v>1986</v>
      </c>
      <c r="C45" s="20" t="s">
        <v>114</v>
      </c>
      <c r="D45" s="34">
        <v>78</v>
      </c>
      <c r="E45" s="34">
        <v>470</v>
      </c>
      <c r="F45" s="254">
        <v>1.78</v>
      </c>
      <c r="G45" s="174" t="s">
        <v>572</v>
      </c>
      <c r="H45" s="34" t="s">
        <v>1643</v>
      </c>
      <c r="I45" s="34">
        <v>73</v>
      </c>
      <c r="J45" s="104" t="str">
        <f>HYPERLINK("https://www.examplebusiness.com/resource-center/insurance/insuring-your-business-with-a-buy-sell-agreement","https://www.examplebusiness.com/resource-center/insurance/insuring-your-business-with-a-buy-sell-agreement")</f>
        <v>https://www.examplebusiness.com/resource-center/insurance/insuring-your-business-with-a-buy-sell-agreement</v>
      </c>
      <c r="K45" s="34" t="s">
        <v>1643</v>
      </c>
      <c r="L45" s="34" t="s">
        <v>1643</v>
      </c>
      <c r="M45" s="34"/>
      <c r="N45" s="34"/>
      <c r="O45" s="34"/>
      <c r="P45" s="102"/>
      <c r="Q45" s="34"/>
      <c r="R45" s="102"/>
    </row>
    <row r="46" spans="1:18" ht="16.5" x14ac:dyDescent="0.35">
      <c r="A46" s="34" t="s">
        <v>1986</v>
      </c>
      <c r="B46" s="34" t="s">
        <v>1986</v>
      </c>
      <c r="C46" s="20" t="s">
        <v>115</v>
      </c>
      <c r="D46" s="34">
        <v>20</v>
      </c>
      <c r="E46" s="34">
        <v>460</v>
      </c>
      <c r="F46" s="254">
        <v>5.4</v>
      </c>
      <c r="G46" s="174" t="s">
        <v>574</v>
      </c>
      <c r="H46" s="34" t="s">
        <v>1643</v>
      </c>
      <c r="I46" s="34">
        <v>12</v>
      </c>
      <c r="J46" s="104" t="str">
        <f>HYPERLINK("https://www.examplebusiness.com/","https://www.examplebusiness.com/")</f>
        <v>https://www.examplebusiness.com/</v>
      </c>
      <c r="K46" s="34" t="s">
        <v>1643</v>
      </c>
      <c r="L46" s="34" t="s">
        <v>1643</v>
      </c>
      <c r="M46" s="34"/>
      <c r="N46" s="34"/>
      <c r="O46" s="34"/>
      <c r="P46" s="102"/>
      <c r="Q46" s="34"/>
      <c r="R46" s="102"/>
    </row>
    <row r="47" spans="1:18" ht="16.5" x14ac:dyDescent="0.35">
      <c r="A47" s="34" t="s">
        <v>1986</v>
      </c>
      <c r="B47" s="34" t="s">
        <v>1986</v>
      </c>
      <c r="C47" s="20" t="s">
        <v>116</v>
      </c>
      <c r="D47" s="34">
        <v>1</v>
      </c>
      <c r="E47" s="34">
        <v>435</v>
      </c>
      <c r="F47" s="254">
        <v>0.94</v>
      </c>
      <c r="G47" s="174" t="s">
        <v>571</v>
      </c>
      <c r="H47" s="34" t="s">
        <v>1643</v>
      </c>
      <c r="I47" s="34">
        <v>23</v>
      </c>
      <c r="J47" s="104" t="str">
        <f>HYPERLINK("https://www.examplebusiness.com/resource-center/lifestyle","https://www.examplebusiness.com/resource-center/lifestyle")</f>
        <v>https://www.examplebusiness.com/resource-center/lifestyle</v>
      </c>
      <c r="K47" s="34" t="s">
        <v>1643</v>
      </c>
      <c r="L47" s="34" t="s">
        <v>1643</v>
      </c>
      <c r="M47" s="34"/>
      <c r="N47" s="34"/>
      <c r="O47" s="34"/>
      <c r="P47" s="102"/>
      <c r="Q47" s="34"/>
      <c r="R47" s="102"/>
    </row>
    <row r="48" spans="1:18" ht="16.5" x14ac:dyDescent="0.35">
      <c r="A48" s="34" t="s">
        <v>1989</v>
      </c>
      <c r="B48" s="34" t="s">
        <v>1994</v>
      </c>
      <c r="C48" s="20" t="s">
        <v>117</v>
      </c>
      <c r="D48" s="34">
        <v>5</v>
      </c>
      <c r="E48" s="34">
        <v>410</v>
      </c>
      <c r="F48" s="254">
        <v>7.7</v>
      </c>
      <c r="G48" s="174" t="s">
        <v>2000</v>
      </c>
      <c r="H48" s="34" t="s">
        <v>1992</v>
      </c>
      <c r="I48" s="34" t="s">
        <v>1992</v>
      </c>
      <c r="J48" s="20" t="s">
        <v>1992</v>
      </c>
      <c r="K48" s="34" t="s">
        <v>1992</v>
      </c>
      <c r="L48" s="34" t="s">
        <v>1992</v>
      </c>
      <c r="M48" s="34"/>
      <c r="N48" s="34"/>
      <c r="O48" s="34"/>
      <c r="P48" s="102"/>
      <c r="Q48" s="34"/>
      <c r="R48" s="102"/>
    </row>
    <row r="49" spans="1:18" ht="16.5" x14ac:dyDescent="0.35">
      <c r="A49" s="34" t="s">
        <v>1986</v>
      </c>
      <c r="B49" s="34" t="s">
        <v>1986</v>
      </c>
      <c r="C49" s="20" t="s">
        <v>118</v>
      </c>
      <c r="D49" s="34">
        <v>0</v>
      </c>
      <c r="E49" s="34">
        <v>410</v>
      </c>
      <c r="F49" s="254">
        <v>0</v>
      </c>
      <c r="G49" s="174" t="s">
        <v>583</v>
      </c>
      <c r="H49" s="34" t="s">
        <v>1643</v>
      </c>
      <c r="I49" s="34">
        <v>74</v>
      </c>
      <c r="J49" s="104" t="str">
        <f>HYPERLINK("https://www.examplebusiness.com/resource-center/investment/the-anatomy-of-an-index","https://www.examplebusiness.com/resource-center/investment/the-anatomy-of-an-index")</f>
        <v>https://www.examplebusiness.com/resource-center/investment/the-anatomy-of-an-index</v>
      </c>
      <c r="K49" s="34" t="s">
        <v>1643</v>
      </c>
      <c r="L49" s="34" t="s">
        <v>1643</v>
      </c>
      <c r="M49" s="34"/>
      <c r="N49" s="34"/>
      <c r="O49" s="34"/>
      <c r="P49" s="102"/>
      <c r="Q49" s="34"/>
      <c r="R49" s="102"/>
    </row>
    <row r="50" spans="1:18" ht="16.5" x14ac:dyDescent="0.35">
      <c r="A50" s="34" t="s">
        <v>1986</v>
      </c>
      <c r="B50" s="34" t="s">
        <v>1986</v>
      </c>
      <c r="C50" s="20" t="s">
        <v>2116</v>
      </c>
      <c r="D50" s="34">
        <v>13</v>
      </c>
      <c r="E50" s="34">
        <v>400</v>
      </c>
      <c r="F50" s="254">
        <v>5.4</v>
      </c>
      <c r="G50" s="174" t="s">
        <v>568</v>
      </c>
      <c r="H50" s="34" t="s">
        <v>1643</v>
      </c>
      <c r="I50" s="34">
        <v>1</v>
      </c>
      <c r="J50" s="104" t="str">
        <f>HYPERLINK("https://www.examplebusiness.com/","https://www.examplebusiness.com/")</f>
        <v>https://www.examplebusiness.com/</v>
      </c>
      <c r="K50" s="34" t="s">
        <v>1643</v>
      </c>
      <c r="L50" s="34" t="s">
        <v>1643</v>
      </c>
      <c r="M50" s="34"/>
      <c r="N50" s="34"/>
      <c r="O50" s="34"/>
      <c r="P50" s="102"/>
      <c r="Q50" s="34"/>
      <c r="R50" s="102"/>
    </row>
    <row r="51" spans="1:18" ht="16.5" x14ac:dyDescent="0.35">
      <c r="A51" s="34" t="s">
        <v>1993</v>
      </c>
      <c r="B51" s="34" t="s">
        <v>1986</v>
      </c>
      <c r="C51" s="20" t="s">
        <v>120</v>
      </c>
      <c r="D51" s="34">
        <v>1</v>
      </c>
      <c r="E51" s="34">
        <v>395</v>
      </c>
      <c r="F51" s="254">
        <v>10.45</v>
      </c>
      <c r="G51" s="174" t="s">
        <v>672</v>
      </c>
      <c r="H51" s="34" t="s">
        <v>1643</v>
      </c>
      <c r="I51" s="34">
        <v>26</v>
      </c>
      <c r="J51" s="104" t="str">
        <f>HYPERLINK("https://www.examplebusiness.com/resource-center/money","https://www.examplebusiness.com/resource-center/money")</f>
        <v>https://www.examplebusiness.com/resource-center/money</v>
      </c>
      <c r="K51" s="34" t="s">
        <v>1643</v>
      </c>
      <c r="L51" s="34" t="s">
        <v>1643</v>
      </c>
      <c r="M51" s="34"/>
      <c r="N51" s="34"/>
      <c r="O51" s="34"/>
      <c r="P51" s="102"/>
      <c r="Q51" s="34"/>
      <c r="R51" s="102"/>
    </row>
    <row r="52" spans="1:18" ht="16.5" x14ac:dyDescent="0.35">
      <c r="A52" s="34" t="s">
        <v>1986</v>
      </c>
      <c r="B52" s="34" t="s">
        <v>1986</v>
      </c>
      <c r="C52" s="20" t="s">
        <v>121</v>
      </c>
      <c r="D52" s="34">
        <v>73</v>
      </c>
      <c r="E52" s="34">
        <v>370</v>
      </c>
      <c r="F52" s="254">
        <v>0</v>
      </c>
      <c r="G52" s="174" t="s">
        <v>606</v>
      </c>
      <c r="H52" s="34" t="s">
        <v>1643</v>
      </c>
      <c r="I52" s="34">
        <v>75</v>
      </c>
      <c r="J52" s="104" t="str">
        <f>HYPERLINK("https://www.examplebusiness.com/blog/when-will-the-recession-officially-start","https://www.examplebusiness.com/blog/when-will-the-recession-officially-start")</f>
        <v>https://www.examplebusiness.com/blog/when-will-the-recession-officially-start</v>
      </c>
      <c r="K52" s="34" t="s">
        <v>1643</v>
      </c>
      <c r="L52" s="34" t="s">
        <v>1643</v>
      </c>
      <c r="M52" s="34"/>
      <c r="N52" s="34"/>
      <c r="O52" s="34"/>
      <c r="P52" s="102"/>
      <c r="Q52" s="34"/>
      <c r="R52" s="102"/>
    </row>
    <row r="53" spans="1:18" ht="16.5" x14ac:dyDescent="0.35">
      <c r="A53" s="34" t="s">
        <v>1989</v>
      </c>
      <c r="B53" s="34" t="s">
        <v>1994</v>
      </c>
      <c r="C53" s="20" t="s">
        <v>122</v>
      </c>
      <c r="D53" s="34"/>
      <c r="E53" s="34">
        <v>365</v>
      </c>
      <c r="F53" s="254">
        <v>14.55</v>
      </c>
      <c r="G53" s="174"/>
      <c r="H53" s="34" t="s">
        <v>1992</v>
      </c>
      <c r="I53" s="34" t="s">
        <v>1992</v>
      </c>
      <c r="J53" s="20" t="s">
        <v>1992</v>
      </c>
      <c r="K53" s="34" t="s">
        <v>1992</v>
      </c>
      <c r="L53" s="34" t="s">
        <v>1992</v>
      </c>
      <c r="M53" s="34"/>
      <c r="N53" s="34"/>
      <c r="O53" s="34"/>
      <c r="P53" s="102"/>
      <c r="Q53" s="34"/>
      <c r="R53" s="102"/>
    </row>
    <row r="54" spans="1:18" ht="16.5" x14ac:dyDescent="0.35">
      <c r="A54" s="34" t="s">
        <v>1986</v>
      </c>
      <c r="B54" s="34" t="s">
        <v>1986</v>
      </c>
      <c r="C54" s="20" t="s">
        <v>123</v>
      </c>
      <c r="D54" s="34">
        <v>42</v>
      </c>
      <c r="E54" s="34">
        <v>345</v>
      </c>
      <c r="F54" s="254">
        <v>17.77</v>
      </c>
      <c r="G54" s="174" t="s">
        <v>587</v>
      </c>
      <c r="H54" s="34" t="s">
        <v>1643</v>
      </c>
      <c r="I54" s="34">
        <v>54</v>
      </c>
      <c r="J54" s="104" t="str">
        <f>HYPERLINK("https://www.examplebusiness.com/blog/socially-responsible-investing","https://www.examplebusiness.com/blog/socially-responsible-investing")</f>
        <v>https://www.examplebusiness.com/blog/socially-responsible-investing</v>
      </c>
      <c r="K54" s="34" t="s">
        <v>1643</v>
      </c>
      <c r="L54" s="34" t="s">
        <v>1643</v>
      </c>
      <c r="M54" s="34"/>
      <c r="N54" s="34"/>
      <c r="O54" s="34"/>
      <c r="P54" s="102"/>
      <c r="Q54" s="34"/>
      <c r="R54" s="102"/>
    </row>
    <row r="55" spans="1:18" ht="16.5" x14ac:dyDescent="0.35">
      <c r="A55" s="34" t="s">
        <v>1986</v>
      </c>
      <c r="B55" s="34" t="s">
        <v>1986</v>
      </c>
      <c r="C55" s="20" t="s">
        <v>124</v>
      </c>
      <c r="D55" s="34">
        <v>23</v>
      </c>
      <c r="E55" s="34">
        <v>340</v>
      </c>
      <c r="F55" s="254">
        <v>0</v>
      </c>
      <c r="G55" s="174" t="s">
        <v>582</v>
      </c>
      <c r="H55" s="34" t="s">
        <v>1643</v>
      </c>
      <c r="I55" s="34">
        <v>19</v>
      </c>
      <c r="J55" s="104" t="str">
        <f>HYPERLINK("https://www.examplebusiness.com/resource-center/investment/earnings-for-all-seasons","https://www.examplebusiness.com/resource-center/investment/earnings-for-all-seasons")</f>
        <v>https://www.examplebusiness.com/resource-center/investment/earnings-for-all-seasons</v>
      </c>
      <c r="K55" s="34" t="s">
        <v>1643</v>
      </c>
      <c r="L55" s="34" t="s">
        <v>1643</v>
      </c>
      <c r="M55" s="34"/>
      <c r="N55" s="34"/>
      <c r="O55" s="34"/>
      <c r="P55" s="102"/>
      <c r="Q55" s="34"/>
      <c r="R55" s="102"/>
    </row>
    <row r="56" spans="1:18" ht="16.5" x14ac:dyDescent="0.35">
      <c r="A56" s="34" t="s">
        <v>1988</v>
      </c>
      <c r="B56" s="34" t="s">
        <v>1986</v>
      </c>
      <c r="C56" s="20" t="s">
        <v>125</v>
      </c>
      <c r="D56" s="34">
        <v>16</v>
      </c>
      <c r="E56" s="34">
        <v>315</v>
      </c>
      <c r="F56" s="254">
        <v>2.04</v>
      </c>
      <c r="G56" s="174" t="s">
        <v>608</v>
      </c>
      <c r="H56" s="34" t="s">
        <v>1643</v>
      </c>
      <c r="I56" s="34">
        <v>99</v>
      </c>
      <c r="J56" s="104" t="str">
        <f>HYPERLINK("http://www.examplebusiness.com/resource-center/investment/where-is-the-market-headed","http://www.examplebusiness.com/resource-center/investment/where-is-the-market-headed")</f>
        <v>http://www.examplebusiness.com/resource-center/investment/where-is-the-market-headed</v>
      </c>
      <c r="K56" s="34" t="s">
        <v>1643</v>
      </c>
      <c r="L56" s="34" t="s">
        <v>1643</v>
      </c>
      <c r="M56" s="34"/>
      <c r="N56" s="34"/>
      <c r="O56" s="34"/>
      <c r="P56" s="102"/>
      <c r="Q56" s="34"/>
      <c r="R56" s="102"/>
    </row>
    <row r="57" spans="1:18" ht="16.5" x14ac:dyDescent="0.35">
      <c r="A57" s="34" t="s">
        <v>1986</v>
      </c>
      <c r="B57" s="34" t="s">
        <v>1987</v>
      </c>
      <c r="C57" s="20" t="s">
        <v>126</v>
      </c>
      <c r="D57" s="34">
        <v>39</v>
      </c>
      <c r="E57" s="34">
        <v>305</v>
      </c>
      <c r="F57" s="254">
        <v>13.23</v>
      </c>
      <c r="G57" s="174" t="s">
        <v>614</v>
      </c>
      <c r="H57" s="34" t="s">
        <v>1643</v>
      </c>
      <c r="I57" s="34">
        <v>56</v>
      </c>
      <c r="J57" s="104" t="str">
        <f>HYPERLINK("https://www.examplebusiness.com/blog/socially-responsible-investing","https://www.examplebusiness.com/blog/socially-responsible-investing")</f>
        <v>https://www.examplebusiness.com/blog/socially-responsible-investing</v>
      </c>
      <c r="K57" s="34" t="s">
        <v>1643</v>
      </c>
      <c r="L57" s="34" t="s">
        <v>1643</v>
      </c>
      <c r="M57" s="34"/>
      <c r="N57" s="34"/>
      <c r="O57" s="34"/>
      <c r="P57" s="102"/>
      <c r="Q57" s="34"/>
      <c r="R57" s="102"/>
    </row>
    <row r="58" spans="1:18" ht="16.5" x14ac:dyDescent="0.35">
      <c r="A58" s="34" t="s">
        <v>1993</v>
      </c>
      <c r="B58" s="34" t="s">
        <v>2001</v>
      </c>
      <c r="C58" s="20" t="s">
        <v>127</v>
      </c>
      <c r="D58" s="34">
        <v>1</v>
      </c>
      <c r="E58" s="34">
        <v>300</v>
      </c>
      <c r="F58" s="254">
        <v>0.17</v>
      </c>
      <c r="G58" s="174" t="s">
        <v>596</v>
      </c>
      <c r="H58" s="34" t="s">
        <v>1643</v>
      </c>
      <c r="I58" s="34">
        <v>26</v>
      </c>
      <c r="J58" s="104" t="str">
        <f>HYPERLINK("https://www.examplebusiness.com/resource-center/estate","https://www.examplebusiness.com/resource-center/estate")</f>
        <v>https://www.examplebusiness.com/resource-center/estate</v>
      </c>
      <c r="K58" s="34" t="s">
        <v>1643</v>
      </c>
      <c r="L58" s="34" t="s">
        <v>1643</v>
      </c>
      <c r="M58" s="34"/>
      <c r="N58" s="34"/>
      <c r="O58" s="34"/>
      <c r="P58" s="102"/>
      <c r="Q58" s="34"/>
      <c r="R58" s="102"/>
    </row>
    <row r="59" spans="1:18" ht="16.5" x14ac:dyDescent="0.35">
      <c r="A59" s="34" t="s">
        <v>1986</v>
      </c>
      <c r="B59" s="34" t="s">
        <v>1987</v>
      </c>
      <c r="C59" s="20" t="s">
        <v>128</v>
      </c>
      <c r="D59" s="34">
        <v>54</v>
      </c>
      <c r="E59" s="34">
        <v>300</v>
      </c>
      <c r="F59" s="254">
        <v>14.91</v>
      </c>
      <c r="G59" s="174" t="s">
        <v>663</v>
      </c>
      <c r="H59" s="34" t="s">
        <v>1643</v>
      </c>
      <c r="I59" s="34">
        <v>87</v>
      </c>
      <c r="J59" s="104" t="str">
        <f>HYPERLINK("https://www.examplebusiness.com/blog/socially-responsible-investing","https://www.examplebusiness.com/blog/socially-responsible-investing")</f>
        <v>https://www.examplebusiness.com/blog/socially-responsible-investing</v>
      </c>
      <c r="K59" s="34" t="s">
        <v>1643</v>
      </c>
      <c r="L59" s="34" t="s">
        <v>1643</v>
      </c>
      <c r="M59" s="34"/>
      <c r="N59" s="34"/>
      <c r="O59" s="34"/>
      <c r="P59" s="102"/>
      <c r="Q59" s="34"/>
      <c r="R59" s="102"/>
    </row>
    <row r="60" spans="1:18" ht="16.5" x14ac:dyDescent="0.35">
      <c r="A60" s="34" t="s">
        <v>1986</v>
      </c>
      <c r="B60" s="34" t="s">
        <v>1986</v>
      </c>
      <c r="C60" s="20" t="s">
        <v>2550</v>
      </c>
      <c r="D60" s="34">
        <v>48</v>
      </c>
      <c r="E60" s="34">
        <v>295</v>
      </c>
      <c r="F60" s="254">
        <v>0</v>
      </c>
      <c r="G60" s="174" t="s">
        <v>651</v>
      </c>
      <c r="H60" s="34" t="s">
        <v>1643</v>
      </c>
      <c r="I60" s="34">
        <v>86</v>
      </c>
      <c r="J60" s="104" t="str">
        <f>HYPERLINK("https://www.examplebusiness.com/","https://www.examplebusiness.com/")</f>
        <v>https://www.examplebusiness.com/</v>
      </c>
      <c r="K60" s="34" t="s">
        <v>1643</v>
      </c>
      <c r="L60" s="34" t="s">
        <v>1643</v>
      </c>
      <c r="M60" s="34"/>
      <c r="N60" s="34"/>
      <c r="O60" s="34"/>
      <c r="P60" s="102"/>
      <c r="Q60" s="34"/>
      <c r="R60" s="102"/>
    </row>
    <row r="61" spans="1:18" ht="16.5" x14ac:dyDescent="0.35">
      <c r="A61" s="34" t="s">
        <v>1989</v>
      </c>
      <c r="B61" s="34" t="s">
        <v>1994</v>
      </c>
      <c r="C61" s="20" t="s">
        <v>2551</v>
      </c>
      <c r="D61" s="34">
        <v>86</v>
      </c>
      <c r="E61" s="34">
        <v>290</v>
      </c>
      <c r="F61" s="254">
        <v>25.12</v>
      </c>
      <c r="G61" s="174" t="s">
        <v>2002</v>
      </c>
      <c r="H61" s="34" t="s">
        <v>1992</v>
      </c>
      <c r="I61" s="34" t="s">
        <v>1992</v>
      </c>
      <c r="J61" s="20" t="s">
        <v>1992</v>
      </c>
      <c r="K61" s="34" t="s">
        <v>1992</v>
      </c>
      <c r="L61" s="34" t="s">
        <v>1992</v>
      </c>
      <c r="M61" s="34"/>
      <c r="N61" s="34"/>
      <c r="O61" s="34"/>
      <c r="P61" s="102"/>
      <c r="Q61" s="34"/>
      <c r="R61" s="102"/>
    </row>
    <row r="62" spans="1:18" ht="16.5" x14ac:dyDescent="0.35">
      <c r="A62" s="34" t="s">
        <v>1986</v>
      </c>
      <c r="B62" s="34" t="s">
        <v>1986</v>
      </c>
      <c r="C62" s="20" t="s">
        <v>130</v>
      </c>
      <c r="D62" s="34">
        <v>33</v>
      </c>
      <c r="E62" s="34">
        <v>280</v>
      </c>
      <c r="F62" s="254">
        <v>0.78</v>
      </c>
      <c r="G62" s="174" t="s">
        <v>568</v>
      </c>
      <c r="H62" s="34" t="s">
        <v>1643</v>
      </c>
      <c r="I62" s="34">
        <v>92</v>
      </c>
      <c r="J62" s="104" t="str">
        <f>HYPERLINK("https://www.examplebusiness.com/blog/abc-Example-acquires-true-north-capital-alliance","https://www.examplebusiness.com/blog/abc-Example-acquires-true-north-capital-alliance")</f>
        <v>https://www.examplebusiness.com/blog/abc-Example-acquires-true-north-capital-alliance</v>
      </c>
      <c r="K62" s="34" t="s">
        <v>1643</v>
      </c>
      <c r="L62" s="34" t="s">
        <v>1643</v>
      </c>
      <c r="M62" s="34"/>
      <c r="N62" s="34"/>
      <c r="O62" s="34"/>
      <c r="P62" s="102"/>
      <c r="Q62" s="34"/>
      <c r="R62" s="102"/>
    </row>
    <row r="63" spans="1:18" ht="16.5" x14ac:dyDescent="0.35">
      <c r="A63" s="34" t="s">
        <v>1989</v>
      </c>
      <c r="B63" s="34" t="s">
        <v>1987</v>
      </c>
      <c r="C63" s="20" t="s">
        <v>131</v>
      </c>
      <c r="D63" s="34">
        <v>38</v>
      </c>
      <c r="E63" s="34">
        <v>260</v>
      </c>
      <c r="F63" s="254">
        <v>12.68</v>
      </c>
      <c r="G63" s="174" t="s">
        <v>1995</v>
      </c>
      <c r="H63" s="34" t="s">
        <v>1992</v>
      </c>
      <c r="I63" s="34" t="s">
        <v>1992</v>
      </c>
      <c r="J63" s="20" t="s">
        <v>1992</v>
      </c>
      <c r="K63" s="34" t="s">
        <v>1992</v>
      </c>
      <c r="L63" s="34" t="s">
        <v>1992</v>
      </c>
      <c r="M63" s="34"/>
      <c r="N63" s="34"/>
      <c r="O63" s="34"/>
      <c r="P63" s="102"/>
      <c r="Q63" s="34"/>
      <c r="R63" s="102"/>
    </row>
    <row r="64" spans="1:18" ht="16.5" x14ac:dyDescent="0.35">
      <c r="A64" s="34" t="s">
        <v>1989</v>
      </c>
      <c r="B64" s="34" t="s">
        <v>1990</v>
      </c>
      <c r="C64" s="20" t="s">
        <v>132</v>
      </c>
      <c r="D64" s="34">
        <v>59</v>
      </c>
      <c r="E64" s="34">
        <v>260</v>
      </c>
      <c r="F64" s="254">
        <v>12.3</v>
      </c>
      <c r="G64" s="174" t="s">
        <v>1997</v>
      </c>
      <c r="H64" s="34" t="s">
        <v>1992</v>
      </c>
      <c r="I64" s="34" t="s">
        <v>1992</v>
      </c>
      <c r="J64" s="20" t="s">
        <v>1992</v>
      </c>
      <c r="K64" s="34" t="s">
        <v>1992</v>
      </c>
      <c r="L64" s="34" t="s">
        <v>1992</v>
      </c>
      <c r="M64" s="34"/>
      <c r="N64" s="34"/>
      <c r="O64" s="34"/>
      <c r="P64" s="102"/>
      <c r="Q64" s="34"/>
      <c r="R64" s="102"/>
    </row>
    <row r="65" spans="1:18" ht="16.5" x14ac:dyDescent="0.35">
      <c r="A65" s="34" t="s">
        <v>1986</v>
      </c>
      <c r="B65" s="34" t="s">
        <v>1986</v>
      </c>
      <c r="C65" s="20" t="s">
        <v>133</v>
      </c>
      <c r="D65" s="34">
        <v>4</v>
      </c>
      <c r="E65" s="34">
        <v>260</v>
      </c>
      <c r="F65" s="254">
        <v>4.2</v>
      </c>
      <c r="G65" s="174" t="s">
        <v>629</v>
      </c>
      <c r="H65" s="34" t="s">
        <v>1643</v>
      </c>
      <c r="I65" s="34">
        <v>62</v>
      </c>
      <c r="J65" s="104" t="str">
        <f>HYPERLINK("https://www.examplebusiness.com/blog/evaluating-investment-risk","https://www.examplebusiness.com/blog/evaluating-investment-risk")</f>
        <v>https://www.examplebusiness.com/blog/evaluating-investment-risk</v>
      </c>
      <c r="K65" s="34" t="s">
        <v>1643</v>
      </c>
      <c r="L65" s="34" t="s">
        <v>1643</v>
      </c>
      <c r="M65" s="34"/>
      <c r="N65" s="34"/>
      <c r="O65" s="34"/>
      <c r="P65" s="102"/>
      <c r="Q65" s="34"/>
      <c r="R65" s="102"/>
    </row>
    <row r="66" spans="1:18" ht="16.5" x14ac:dyDescent="0.35">
      <c r="A66" s="34" t="s">
        <v>1988</v>
      </c>
      <c r="B66" s="34" t="s">
        <v>1986</v>
      </c>
      <c r="C66" s="20" t="s">
        <v>134</v>
      </c>
      <c r="D66" s="34">
        <v>22</v>
      </c>
      <c r="E66" s="34">
        <v>250</v>
      </c>
      <c r="F66" s="254" t="s">
        <v>70</v>
      </c>
      <c r="G66" s="174" t="s">
        <v>606</v>
      </c>
      <c r="H66" s="34" t="s">
        <v>1643</v>
      </c>
      <c r="I66" s="34">
        <v>47</v>
      </c>
      <c r="J66" s="104" t="str">
        <f>HYPERLINK("https://www.examplebusiness.com/resource-center/money/what-to-look-for-in-personal-finance-apps","https://www.examplebusiness.com/resource-center/money/what-to-look-for-in-personal-finance-apps")</f>
        <v>https://www.examplebusiness.com/resource-center/money/what-to-look-for-in-personal-finance-apps</v>
      </c>
      <c r="K66" s="34" t="s">
        <v>1643</v>
      </c>
      <c r="L66" s="34" t="s">
        <v>1643</v>
      </c>
      <c r="M66" s="34"/>
      <c r="N66" s="34"/>
      <c r="O66" s="34"/>
      <c r="P66" s="102"/>
      <c r="Q66" s="34"/>
      <c r="R66" s="102"/>
    </row>
    <row r="67" spans="1:18" ht="16.5" x14ac:dyDescent="0.35">
      <c r="A67" s="34" t="s">
        <v>1993</v>
      </c>
      <c r="B67" s="34" t="s">
        <v>1986</v>
      </c>
      <c r="C67" s="20" t="s">
        <v>135</v>
      </c>
      <c r="D67" s="34">
        <v>8</v>
      </c>
      <c r="E67" s="34">
        <v>250</v>
      </c>
      <c r="F67" s="254">
        <v>0.84</v>
      </c>
      <c r="G67" s="174" t="s">
        <v>594</v>
      </c>
      <c r="H67" s="34" t="s">
        <v>1643</v>
      </c>
      <c r="I67" s="34">
        <v>65</v>
      </c>
      <c r="J67" s="104" t="str">
        <f>HYPERLINK("https://www.examplebusiness.com/blog/teaching-money-mindfulness-to-your-children","https://www.examplebusiness.com/blog/teaching-money-mindfulness-to-your-children")</f>
        <v>https://www.examplebusiness.com/blog/teaching-money-mindfulness-to-your-children</v>
      </c>
      <c r="K67" s="34" t="s">
        <v>1643</v>
      </c>
      <c r="L67" s="34" t="s">
        <v>1643</v>
      </c>
      <c r="M67" s="34"/>
      <c r="N67" s="34"/>
      <c r="O67" s="34"/>
      <c r="P67" s="102"/>
      <c r="Q67" s="34"/>
      <c r="R67" s="102"/>
    </row>
    <row r="68" spans="1:18" ht="16.5" x14ac:dyDescent="0.35">
      <c r="A68" s="34" t="s">
        <v>1993</v>
      </c>
      <c r="B68" s="34" t="s">
        <v>1987</v>
      </c>
      <c r="C68" s="20" t="s">
        <v>136</v>
      </c>
      <c r="D68" s="34">
        <v>0</v>
      </c>
      <c r="E68" s="34">
        <v>250</v>
      </c>
      <c r="F68" s="254" t="s">
        <v>70</v>
      </c>
      <c r="G68" s="174"/>
      <c r="H68" s="34" t="s">
        <v>1643</v>
      </c>
      <c r="I68" s="34">
        <v>83</v>
      </c>
      <c r="J68" s="104" t="str">
        <f>HYPERLINK("https://www.examplebusiness.com/blog/evaluating-investment-risk","https://www.examplebusiness.com/blog/evaluating-investment-risk")</f>
        <v>https://www.examplebusiness.com/blog/evaluating-investment-risk</v>
      </c>
      <c r="K68" s="34" t="s">
        <v>1643</v>
      </c>
      <c r="L68" s="34" t="s">
        <v>1643</v>
      </c>
      <c r="M68" s="34"/>
      <c r="N68" s="34"/>
      <c r="O68" s="34"/>
      <c r="P68" s="102"/>
      <c r="Q68" s="34"/>
      <c r="R68" s="102"/>
    </row>
    <row r="69" spans="1:18" ht="16.5" x14ac:dyDescent="0.35">
      <c r="A69" s="34" t="s">
        <v>1986</v>
      </c>
      <c r="B69" s="34" t="s">
        <v>1986</v>
      </c>
      <c r="C69" s="20" t="s">
        <v>137</v>
      </c>
      <c r="D69" s="34">
        <v>21</v>
      </c>
      <c r="E69" s="34">
        <v>250</v>
      </c>
      <c r="F69" s="254">
        <v>9.24</v>
      </c>
      <c r="G69" s="174" t="s">
        <v>625</v>
      </c>
      <c r="H69" s="34" t="s">
        <v>1643</v>
      </c>
      <c r="I69" s="34">
        <v>100</v>
      </c>
      <c r="J69" s="104" t="str">
        <f>HYPERLINK("https://www.examplebusiness.com/","https://www.examplebusiness.com/")</f>
        <v>https://www.examplebusiness.com/</v>
      </c>
      <c r="K69" s="34" t="s">
        <v>1643</v>
      </c>
      <c r="L69" s="34" t="s">
        <v>1643</v>
      </c>
      <c r="M69" s="34"/>
      <c r="N69" s="34"/>
      <c r="O69" s="34"/>
      <c r="P69" s="102"/>
      <c r="Q69" s="34"/>
      <c r="R69" s="102"/>
    </row>
    <row r="70" spans="1:18" ht="16.5" x14ac:dyDescent="0.35">
      <c r="A70" s="34" t="s">
        <v>1989</v>
      </c>
      <c r="B70" s="34" t="s">
        <v>2001</v>
      </c>
      <c r="C70" s="20" t="s">
        <v>138</v>
      </c>
      <c r="D70" s="34">
        <v>18</v>
      </c>
      <c r="E70" s="34">
        <v>245</v>
      </c>
      <c r="F70" s="254">
        <v>6.77</v>
      </c>
      <c r="G70" s="174" t="s">
        <v>2003</v>
      </c>
      <c r="H70" s="34" t="s">
        <v>1992</v>
      </c>
      <c r="I70" s="34" t="s">
        <v>1992</v>
      </c>
      <c r="J70" s="20" t="s">
        <v>1992</v>
      </c>
      <c r="K70" s="34" t="s">
        <v>1992</v>
      </c>
      <c r="L70" s="34" t="s">
        <v>1992</v>
      </c>
      <c r="M70" s="34"/>
      <c r="N70" s="34"/>
      <c r="O70" s="34"/>
      <c r="P70" s="102"/>
      <c r="Q70" s="34"/>
      <c r="R70" s="102"/>
    </row>
    <row r="71" spans="1:18" ht="16.5" x14ac:dyDescent="0.35">
      <c r="A71" s="34" t="s">
        <v>1989</v>
      </c>
      <c r="B71" s="34" t="s">
        <v>2001</v>
      </c>
      <c r="C71" s="20" t="s">
        <v>139</v>
      </c>
      <c r="D71" s="34"/>
      <c r="E71" s="34">
        <v>245</v>
      </c>
      <c r="F71" s="254">
        <v>10.125</v>
      </c>
      <c r="G71" s="174"/>
      <c r="H71" s="34" t="s">
        <v>1992</v>
      </c>
      <c r="I71" s="34" t="s">
        <v>1992</v>
      </c>
      <c r="J71" s="20" t="s">
        <v>1992</v>
      </c>
      <c r="K71" s="34" t="s">
        <v>1992</v>
      </c>
      <c r="L71" s="34" t="s">
        <v>1992</v>
      </c>
      <c r="M71" s="34"/>
      <c r="N71" s="34"/>
      <c r="O71" s="34"/>
      <c r="P71" s="102"/>
      <c r="Q71" s="34"/>
      <c r="R71" s="102"/>
    </row>
    <row r="72" spans="1:18" ht="16.5" x14ac:dyDescent="0.35">
      <c r="A72" s="34" t="s">
        <v>1988</v>
      </c>
      <c r="B72" s="34" t="s">
        <v>1986</v>
      </c>
      <c r="C72" s="20" t="s">
        <v>140</v>
      </c>
      <c r="D72" s="34">
        <v>49</v>
      </c>
      <c r="E72" s="34">
        <v>245</v>
      </c>
      <c r="F72" s="254">
        <v>4.68</v>
      </c>
      <c r="G72" s="174" t="s">
        <v>658</v>
      </c>
      <c r="H72" s="34" t="s">
        <v>1643</v>
      </c>
      <c r="I72" s="34">
        <v>89</v>
      </c>
      <c r="J72" s="104" t="str">
        <f>HYPERLINK("https://www.examplebusiness.com/resource-center/tax/how-income-taxes-work","https://www.examplebusiness.com/resource-center/tax/how-income-taxes-work")</f>
        <v>https://www.examplebusiness.com/resource-center/tax/how-income-taxes-work</v>
      </c>
      <c r="K72" s="34" t="s">
        <v>1643</v>
      </c>
      <c r="L72" s="34" t="s">
        <v>1643</v>
      </c>
      <c r="M72" s="34"/>
      <c r="N72" s="34"/>
      <c r="O72" s="34"/>
      <c r="P72" s="102"/>
      <c r="Q72" s="34"/>
      <c r="R72" s="102"/>
    </row>
    <row r="73" spans="1:18" ht="16.5" x14ac:dyDescent="0.35">
      <c r="A73" s="34" t="s">
        <v>1986</v>
      </c>
      <c r="B73" s="34" t="s">
        <v>1986</v>
      </c>
      <c r="C73" s="20" t="s">
        <v>2530</v>
      </c>
      <c r="D73" s="34">
        <v>7</v>
      </c>
      <c r="E73" s="34">
        <v>235</v>
      </c>
      <c r="F73" s="254">
        <v>30.33</v>
      </c>
      <c r="G73" s="174" t="s">
        <v>2002</v>
      </c>
      <c r="H73" s="34" t="s">
        <v>1992</v>
      </c>
      <c r="I73" s="34" t="s">
        <v>1992</v>
      </c>
      <c r="J73" s="20" t="s">
        <v>1992</v>
      </c>
      <c r="K73" s="34" t="s">
        <v>1992</v>
      </c>
      <c r="L73" s="34" t="s">
        <v>1992</v>
      </c>
      <c r="M73" s="34"/>
      <c r="N73" s="34"/>
      <c r="O73" s="34"/>
      <c r="P73" s="102"/>
      <c r="Q73" s="34"/>
      <c r="R73" s="102"/>
    </row>
    <row r="74" spans="1:18" ht="16.5" x14ac:dyDescent="0.35">
      <c r="A74" s="34" t="s">
        <v>1988</v>
      </c>
      <c r="B74" s="34" t="s">
        <v>1986</v>
      </c>
      <c r="C74" s="20" t="s">
        <v>141</v>
      </c>
      <c r="D74" s="34">
        <v>50</v>
      </c>
      <c r="E74" s="34">
        <v>235</v>
      </c>
      <c r="F74" s="254">
        <v>3.33</v>
      </c>
      <c r="G74" s="174" t="s">
        <v>594</v>
      </c>
      <c r="H74" s="34" t="s">
        <v>1643</v>
      </c>
      <c r="I74" s="34">
        <v>35</v>
      </c>
      <c r="J74" s="104" t="str">
        <f>HYPERLINK("https://www.examplebusiness.com/resource-center/insurance/how-does-whole-life-insurance-work","https://www.examplebusiness.com/resource-center/insurance/how-does-whole-life-insurance-work")</f>
        <v>https://www.examplebusiness.com/resource-center/insurance/how-does-whole-life-insurance-work</v>
      </c>
      <c r="K74" s="34" t="s">
        <v>1643</v>
      </c>
      <c r="L74" s="34" t="s">
        <v>1643</v>
      </c>
      <c r="M74" s="34"/>
      <c r="N74" s="34"/>
      <c r="O74" s="34"/>
      <c r="P74" s="102"/>
      <c r="Q74" s="34"/>
      <c r="R74" s="102"/>
    </row>
    <row r="75" spans="1:18" ht="16.5" x14ac:dyDescent="0.35">
      <c r="A75" s="34" t="s">
        <v>1989</v>
      </c>
      <c r="B75" s="34" t="s">
        <v>1987</v>
      </c>
      <c r="C75" s="20" t="s">
        <v>142</v>
      </c>
      <c r="D75" s="34">
        <v>26</v>
      </c>
      <c r="E75" s="34">
        <v>210</v>
      </c>
      <c r="F75" s="254">
        <v>0</v>
      </c>
      <c r="G75" s="174" t="s">
        <v>1991</v>
      </c>
      <c r="H75" s="34" t="s">
        <v>1992</v>
      </c>
      <c r="I75" s="34" t="s">
        <v>1992</v>
      </c>
      <c r="J75" s="20" t="s">
        <v>1992</v>
      </c>
      <c r="K75" s="34" t="s">
        <v>1992</v>
      </c>
      <c r="L75" s="34" t="s">
        <v>1992</v>
      </c>
      <c r="M75" s="34"/>
      <c r="N75" s="34"/>
      <c r="O75" s="34"/>
      <c r="P75" s="102"/>
      <c r="Q75" s="34"/>
      <c r="R75" s="102"/>
    </row>
    <row r="76" spans="1:18" ht="16.5" x14ac:dyDescent="0.35">
      <c r="A76" s="34" t="s">
        <v>1989</v>
      </c>
      <c r="B76" s="34" t="s">
        <v>1990</v>
      </c>
      <c r="C76" s="20" t="s">
        <v>143</v>
      </c>
      <c r="D76" s="34">
        <v>12</v>
      </c>
      <c r="E76" s="34">
        <v>210</v>
      </c>
      <c r="F76" s="254">
        <v>1.94</v>
      </c>
      <c r="G76" s="174" t="s">
        <v>572</v>
      </c>
      <c r="H76" s="34" t="s">
        <v>1992</v>
      </c>
      <c r="I76" s="34" t="s">
        <v>1992</v>
      </c>
      <c r="J76" s="20" t="s">
        <v>1992</v>
      </c>
      <c r="K76" s="34" t="s">
        <v>1992</v>
      </c>
      <c r="L76" s="34" t="s">
        <v>1992</v>
      </c>
      <c r="M76" s="34"/>
      <c r="N76" s="34"/>
      <c r="O76" s="34"/>
      <c r="P76" s="102"/>
      <c r="Q76" s="34"/>
      <c r="R76" s="102"/>
    </row>
    <row r="77" spans="1:18" ht="16.5" x14ac:dyDescent="0.35">
      <c r="A77" s="34" t="s">
        <v>1986</v>
      </c>
      <c r="B77" s="34" t="s">
        <v>1986</v>
      </c>
      <c r="C77" s="20" t="s">
        <v>144</v>
      </c>
      <c r="D77" s="34">
        <v>23</v>
      </c>
      <c r="E77" s="34">
        <v>210</v>
      </c>
      <c r="F77" s="254">
        <v>3.93</v>
      </c>
      <c r="G77" s="174" t="s">
        <v>572</v>
      </c>
      <c r="H77" s="34" t="s">
        <v>1643</v>
      </c>
      <c r="I77" s="34">
        <v>82</v>
      </c>
      <c r="J77" s="104" t="str">
        <f>HYPERLINK("https://www.examplebusiness.com/events","https://www.examplebusiness.com/events")</f>
        <v>https://www.examplebusiness.com/events</v>
      </c>
      <c r="K77" s="34" t="s">
        <v>1643</v>
      </c>
      <c r="L77" s="34" t="s">
        <v>1643</v>
      </c>
      <c r="M77" s="34"/>
      <c r="N77" s="34"/>
      <c r="O77" s="34"/>
      <c r="P77" s="102"/>
      <c r="Q77" s="34"/>
      <c r="R77" s="102"/>
    </row>
    <row r="78" spans="1:18" ht="16.5" x14ac:dyDescent="0.35">
      <c r="A78" s="34" t="s">
        <v>1986</v>
      </c>
      <c r="B78" s="34" t="s">
        <v>1986</v>
      </c>
      <c r="C78" s="20" t="s">
        <v>145</v>
      </c>
      <c r="D78" s="34">
        <v>10</v>
      </c>
      <c r="E78" s="34">
        <v>210</v>
      </c>
      <c r="F78" s="254">
        <v>0.06</v>
      </c>
      <c r="G78" s="174" t="s">
        <v>673</v>
      </c>
      <c r="H78" s="34" t="s">
        <v>1643</v>
      </c>
      <c r="I78" s="34">
        <v>30</v>
      </c>
      <c r="J78" s="104" t="str">
        <f>HYPERLINK("https://www.examplebusiness.com/blog/what-gen-xers-millennials-and-baby-boomers-need-to-know-about-Example-p","https://www.examplebusiness.com/blog/what-gen-xers-millennials-and-baby-boomers-need-to-know-about-Example-p")</f>
        <v>https://www.examplebusiness.com/blog/what-gen-xers-millennials-and-baby-boomers-need-to-know-about-Example-p</v>
      </c>
      <c r="K78" s="34" t="s">
        <v>1643</v>
      </c>
      <c r="L78" s="34" t="s">
        <v>1643</v>
      </c>
      <c r="M78" s="34"/>
      <c r="N78" s="34"/>
      <c r="O78" s="34"/>
      <c r="P78" s="102"/>
      <c r="Q78" s="34"/>
      <c r="R78" s="102"/>
    </row>
    <row r="79" spans="1:18" ht="16.5" x14ac:dyDescent="0.35">
      <c r="A79" s="34" t="s">
        <v>1989</v>
      </c>
      <c r="B79" s="34" t="s">
        <v>1987</v>
      </c>
      <c r="C79" s="20" t="s">
        <v>146</v>
      </c>
      <c r="D79" s="34">
        <v>50</v>
      </c>
      <c r="E79" s="34">
        <v>205</v>
      </c>
      <c r="F79" s="254">
        <v>11.99</v>
      </c>
      <c r="G79" s="174" t="s">
        <v>2002</v>
      </c>
      <c r="H79" s="34" t="s">
        <v>1992</v>
      </c>
      <c r="I79" s="34" t="s">
        <v>1992</v>
      </c>
      <c r="J79" s="20" t="s">
        <v>1992</v>
      </c>
      <c r="K79" s="34" t="s">
        <v>1992</v>
      </c>
      <c r="L79" s="34" t="s">
        <v>1992</v>
      </c>
      <c r="M79" s="34"/>
      <c r="N79" s="34"/>
      <c r="O79" s="34"/>
      <c r="P79" s="102"/>
      <c r="Q79" s="34"/>
      <c r="R79" s="102"/>
    </row>
    <row r="80" spans="1:18" ht="16.5" x14ac:dyDescent="0.35">
      <c r="A80" s="34" t="s">
        <v>1988</v>
      </c>
      <c r="B80" s="34" t="s">
        <v>1987</v>
      </c>
      <c r="C80" s="20" t="s">
        <v>147</v>
      </c>
      <c r="D80" s="34">
        <v>58</v>
      </c>
      <c r="E80" s="34">
        <v>205</v>
      </c>
      <c r="F80" s="254">
        <v>11.5</v>
      </c>
      <c r="G80" s="174" t="s">
        <v>582</v>
      </c>
      <c r="H80" s="34" t="s">
        <v>1643</v>
      </c>
      <c r="I80" s="34">
        <v>65</v>
      </c>
      <c r="J80" s="104" t="str">
        <f>HYPERLINK("https://www.examplebusiness.com/blog/socially-responsible-investing","https://www.examplebusiness.com/blog/socially-responsible-investing")</f>
        <v>https://www.examplebusiness.com/blog/socially-responsible-investing</v>
      </c>
      <c r="K80" s="34" t="s">
        <v>1643</v>
      </c>
      <c r="L80" s="34" t="s">
        <v>1643</v>
      </c>
      <c r="M80" s="34"/>
      <c r="N80" s="34"/>
      <c r="O80" s="34"/>
      <c r="P80" s="102"/>
      <c r="Q80" s="34"/>
      <c r="R80" s="102"/>
    </row>
    <row r="81" spans="1:18" ht="16.5" x14ac:dyDescent="0.35">
      <c r="A81" s="34" t="s">
        <v>1988</v>
      </c>
      <c r="B81" s="34" t="s">
        <v>1986</v>
      </c>
      <c r="C81" s="20" t="s">
        <v>148</v>
      </c>
      <c r="D81" s="34">
        <v>6</v>
      </c>
      <c r="E81" s="34">
        <v>200</v>
      </c>
      <c r="F81" s="254" t="s">
        <v>70</v>
      </c>
      <c r="G81" s="174" t="s">
        <v>600</v>
      </c>
      <c r="H81" s="34" t="s">
        <v>1643</v>
      </c>
      <c r="I81" s="34">
        <v>45</v>
      </c>
      <c r="J81" s="104" t="str">
        <f>HYPERLINK("https://www.examplebusiness.com/resource-center/money/life-and-death-of-a-20-dollar-bill","https://www.examplebusiness.com/resource-center/money/life-and-death-of-a-20-dollar-bill")</f>
        <v>https://www.examplebusiness.com/resource-center/money/life-and-death-of-a-20-dollar-bill</v>
      </c>
      <c r="K81" s="34" t="s">
        <v>1643</v>
      </c>
      <c r="L81" s="34" t="s">
        <v>1643</v>
      </c>
      <c r="M81" s="34"/>
      <c r="N81" s="34"/>
      <c r="O81" s="34"/>
      <c r="P81" s="102"/>
      <c r="Q81" s="34"/>
      <c r="R81" s="102"/>
    </row>
    <row r="82" spans="1:18" ht="16.5" x14ac:dyDescent="0.35">
      <c r="A82" s="34" t="s">
        <v>1986</v>
      </c>
      <c r="B82" s="34" t="s">
        <v>1986</v>
      </c>
      <c r="C82" s="20" t="s">
        <v>149</v>
      </c>
      <c r="D82" s="34">
        <v>57</v>
      </c>
      <c r="E82" s="34">
        <v>200</v>
      </c>
      <c r="F82" s="254" t="s">
        <v>70</v>
      </c>
      <c r="G82" s="174" t="s">
        <v>572</v>
      </c>
      <c r="H82" s="34" t="s">
        <v>1643</v>
      </c>
      <c r="I82" s="34">
        <v>95</v>
      </c>
      <c r="J82" s="104" t="str">
        <f>HYPERLINK("https://www.examplebusiness.com/partnership-with-lpl-kf26a","https://www.examplebusiness.com/partnership-with-lpl-kf26a")</f>
        <v>https://www.examplebusiness.com/partnership-with-lpl-kf26a</v>
      </c>
      <c r="K82" s="34" t="s">
        <v>1643</v>
      </c>
      <c r="L82" s="34" t="s">
        <v>1643</v>
      </c>
      <c r="M82" s="34"/>
      <c r="N82" s="34"/>
      <c r="O82" s="34"/>
      <c r="P82" s="102"/>
      <c r="Q82" s="34"/>
      <c r="R82" s="102"/>
    </row>
    <row r="83" spans="1:18" ht="16.5" x14ac:dyDescent="0.35">
      <c r="A83" s="34" t="s">
        <v>1989</v>
      </c>
      <c r="B83" s="34" t="s">
        <v>1987</v>
      </c>
      <c r="C83" s="20" t="s">
        <v>150</v>
      </c>
      <c r="D83" s="34">
        <v>12</v>
      </c>
      <c r="E83" s="34">
        <v>195</v>
      </c>
      <c r="F83" s="254">
        <v>0</v>
      </c>
      <c r="G83" s="174" t="s">
        <v>2003</v>
      </c>
      <c r="H83" s="34" t="s">
        <v>1992</v>
      </c>
      <c r="I83" s="34" t="s">
        <v>1992</v>
      </c>
      <c r="J83" s="20" t="s">
        <v>1992</v>
      </c>
      <c r="K83" s="34" t="s">
        <v>1992</v>
      </c>
      <c r="L83" s="34" t="s">
        <v>1992</v>
      </c>
      <c r="M83" s="34"/>
      <c r="N83" s="34"/>
      <c r="O83" s="34"/>
      <c r="P83" s="102"/>
      <c r="Q83" s="34"/>
      <c r="R83" s="102"/>
    </row>
    <row r="84" spans="1:18" ht="16.5" x14ac:dyDescent="0.35">
      <c r="A84" s="34" t="s">
        <v>1986</v>
      </c>
      <c r="B84" s="34" t="s">
        <v>1986</v>
      </c>
      <c r="C84" s="20" t="s">
        <v>151</v>
      </c>
      <c r="D84" s="34">
        <v>0</v>
      </c>
      <c r="E84" s="34">
        <v>190</v>
      </c>
      <c r="F84" s="254">
        <v>0.08</v>
      </c>
      <c r="G84" s="174" t="s">
        <v>648</v>
      </c>
      <c r="H84" s="34" t="s">
        <v>1643</v>
      </c>
      <c r="I84" s="34">
        <v>83</v>
      </c>
      <c r="J84" s="104" t="str">
        <f>HYPERLINK("https://www.examplebusiness.com/resource-center/money/life-and-death-of-a-20-dollar-bill","https://www.examplebusiness.com/resource-center/money/life-and-death-of-a-20-dollar-bill")</f>
        <v>https://www.examplebusiness.com/resource-center/money/life-and-death-of-a-20-dollar-bill</v>
      </c>
      <c r="K84" s="34" t="s">
        <v>1643</v>
      </c>
      <c r="L84" s="34" t="s">
        <v>1643</v>
      </c>
      <c r="M84" s="34"/>
      <c r="N84" s="34"/>
      <c r="O84" s="34"/>
      <c r="P84" s="102"/>
      <c r="Q84" s="34"/>
      <c r="R84" s="102"/>
    </row>
    <row r="85" spans="1:18" ht="16.5" x14ac:dyDescent="0.35">
      <c r="A85" s="34" t="s">
        <v>1986</v>
      </c>
      <c r="B85" s="34" t="s">
        <v>1986</v>
      </c>
      <c r="C85" s="20" t="s">
        <v>2537</v>
      </c>
      <c r="D85" s="34">
        <v>10</v>
      </c>
      <c r="E85" s="34">
        <v>185</v>
      </c>
      <c r="F85" s="254">
        <v>25.33</v>
      </c>
      <c r="G85" s="174" t="s">
        <v>2004</v>
      </c>
      <c r="H85" s="34" t="s">
        <v>1992</v>
      </c>
      <c r="I85" s="34" t="s">
        <v>1992</v>
      </c>
      <c r="J85" s="20" t="s">
        <v>1992</v>
      </c>
      <c r="K85" s="34" t="s">
        <v>1992</v>
      </c>
      <c r="L85" s="34" t="s">
        <v>1992</v>
      </c>
      <c r="M85" s="34"/>
      <c r="N85" s="34"/>
      <c r="O85" s="34"/>
      <c r="P85" s="102"/>
      <c r="Q85" s="34"/>
      <c r="R85" s="102"/>
    </row>
    <row r="86" spans="1:18" ht="16.5" x14ac:dyDescent="0.35">
      <c r="A86" s="34" t="s">
        <v>1988</v>
      </c>
      <c r="B86" s="34" t="s">
        <v>1986</v>
      </c>
      <c r="C86" s="20" t="s">
        <v>152</v>
      </c>
      <c r="D86" s="34">
        <v>66</v>
      </c>
      <c r="E86" s="34">
        <v>185</v>
      </c>
      <c r="F86" s="254">
        <v>2</v>
      </c>
      <c r="G86" s="174" t="s">
        <v>633</v>
      </c>
      <c r="H86" s="34" t="s">
        <v>1643</v>
      </c>
      <c r="I86" s="34">
        <v>93</v>
      </c>
      <c r="J86" s="104" t="str">
        <f>HYPERLINK("https://www.examplebusiness.com/resource-center/tax/how-income-taxes-work","https://www.examplebusiness.com/resource-center/tax/how-income-taxes-work")</f>
        <v>https://www.examplebusiness.com/resource-center/tax/how-income-taxes-work</v>
      </c>
      <c r="K86" s="34" t="s">
        <v>1643</v>
      </c>
      <c r="L86" s="34" t="s">
        <v>1643</v>
      </c>
      <c r="M86" s="34"/>
      <c r="N86" s="34"/>
      <c r="O86" s="34"/>
      <c r="P86" s="102"/>
      <c r="Q86" s="34"/>
      <c r="R86" s="102"/>
    </row>
    <row r="87" spans="1:18" ht="16.5" x14ac:dyDescent="0.35">
      <c r="A87" s="34" t="s">
        <v>1989</v>
      </c>
      <c r="B87" s="34" t="s">
        <v>1990</v>
      </c>
      <c r="C87" s="20" t="s">
        <v>153</v>
      </c>
      <c r="D87" s="34">
        <v>12</v>
      </c>
      <c r="E87" s="34">
        <v>180</v>
      </c>
      <c r="F87" s="254">
        <v>2.95</v>
      </c>
      <c r="G87" s="174" t="s">
        <v>2005</v>
      </c>
      <c r="H87" s="34" t="s">
        <v>1992</v>
      </c>
      <c r="I87" s="34" t="s">
        <v>1992</v>
      </c>
      <c r="J87" s="20" t="s">
        <v>1992</v>
      </c>
      <c r="K87" s="34" t="s">
        <v>1992</v>
      </c>
      <c r="L87" s="34" t="s">
        <v>1992</v>
      </c>
      <c r="M87" s="34"/>
      <c r="N87" s="34"/>
      <c r="O87" s="34"/>
      <c r="P87" s="102"/>
      <c r="Q87" s="34"/>
      <c r="R87" s="102"/>
    </row>
    <row r="88" spans="1:18" ht="16.5" x14ac:dyDescent="0.35">
      <c r="A88" s="34" t="s">
        <v>1986</v>
      </c>
      <c r="B88" s="34" t="s">
        <v>1986</v>
      </c>
      <c r="C88" s="20" t="s">
        <v>2532</v>
      </c>
      <c r="D88" s="34">
        <v>13</v>
      </c>
      <c r="E88" s="34">
        <v>180</v>
      </c>
      <c r="F88" s="254">
        <v>31.49</v>
      </c>
      <c r="G88" s="174" t="s">
        <v>2006</v>
      </c>
      <c r="H88" s="34" t="s">
        <v>1992</v>
      </c>
      <c r="I88" s="34" t="s">
        <v>1992</v>
      </c>
      <c r="J88" s="20" t="s">
        <v>1992</v>
      </c>
      <c r="K88" s="34" t="s">
        <v>1992</v>
      </c>
      <c r="L88" s="34" t="s">
        <v>1992</v>
      </c>
      <c r="M88" s="34"/>
      <c r="N88" s="34"/>
      <c r="O88" s="34"/>
      <c r="P88" s="102"/>
      <c r="Q88" s="34"/>
      <c r="R88" s="102"/>
    </row>
    <row r="89" spans="1:18" ht="16.5" x14ac:dyDescent="0.35">
      <c r="A89" s="34" t="s">
        <v>1986</v>
      </c>
      <c r="B89" s="34" t="s">
        <v>1986</v>
      </c>
      <c r="C89" s="20" t="s">
        <v>154</v>
      </c>
      <c r="D89" s="34">
        <v>38</v>
      </c>
      <c r="E89" s="34">
        <v>175</v>
      </c>
      <c r="F89" s="254">
        <v>4.63</v>
      </c>
      <c r="G89" s="174" t="s">
        <v>601</v>
      </c>
      <c r="H89" s="34" t="s">
        <v>1643</v>
      </c>
      <c r="I89" s="34">
        <v>67</v>
      </c>
      <c r="J89" s="104" t="str">
        <f>HYPERLINK("https://www.examplebusiness.com/p/business-retirement-plan-consulting","https://www.examplebusiness.com/p/business-retirement-plan-consulting")</f>
        <v>https://www.examplebusiness.com/p/business-retirement-plan-consulting</v>
      </c>
      <c r="K89" s="34" t="s">
        <v>1643</v>
      </c>
      <c r="L89" s="34" t="s">
        <v>1643</v>
      </c>
      <c r="M89" s="34"/>
      <c r="N89" s="34"/>
      <c r="O89" s="34"/>
      <c r="P89" s="102"/>
      <c r="Q89" s="34"/>
      <c r="R89" s="102"/>
    </row>
    <row r="90" spans="1:18" ht="16.5" x14ac:dyDescent="0.35">
      <c r="A90" s="34" t="s">
        <v>1986</v>
      </c>
      <c r="B90" s="34" t="s">
        <v>1986</v>
      </c>
      <c r="C90" s="20" t="s">
        <v>155</v>
      </c>
      <c r="D90" s="34">
        <v>23</v>
      </c>
      <c r="E90" s="34">
        <v>175</v>
      </c>
      <c r="F90" s="254">
        <v>0</v>
      </c>
      <c r="G90" s="174" t="s">
        <v>613</v>
      </c>
      <c r="H90" s="34" t="s">
        <v>1643</v>
      </c>
      <c r="I90" s="34">
        <v>96</v>
      </c>
      <c r="J90" s="104" t="str">
        <f>HYPERLINK("https://www.examplebusiness.com/resource-center/money/life-and-death-of-a-20-dollar-bill","https://www.examplebusiness.com/resource-center/money/life-and-death-of-a-20-dollar-bill")</f>
        <v>https://www.examplebusiness.com/resource-center/money/life-and-death-of-a-20-dollar-bill</v>
      </c>
      <c r="K90" s="34" t="s">
        <v>1643</v>
      </c>
      <c r="L90" s="34" t="s">
        <v>1643</v>
      </c>
      <c r="M90" s="34"/>
      <c r="N90" s="34"/>
      <c r="O90" s="34"/>
      <c r="P90" s="102"/>
      <c r="Q90" s="34"/>
      <c r="R90" s="102"/>
    </row>
    <row r="91" spans="1:18" ht="16.5" x14ac:dyDescent="0.35">
      <c r="A91" s="34" t="s">
        <v>1989</v>
      </c>
      <c r="B91" s="34" t="s">
        <v>1990</v>
      </c>
      <c r="C91" s="20" t="s">
        <v>156</v>
      </c>
      <c r="D91" s="34">
        <v>12</v>
      </c>
      <c r="E91" s="34">
        <v>170</v>
      </c>
      <c r="F91" s="254">
        <v>1.1399999999999999</v>
      </c>
      <c r="G91" s="174" t="s">
        <v>2002</v>
      </c>
      <c r="H91" s="34" t="s">
        <v>1992</v>
      </c>
      <c r="I91" s="34" t="s">
        <v>1992</v>
      </c>
      <c r="J91" s="20" t="s">
        <v>1992</v>
      </c>
      <c r="K91" s="34" t="s">
        <v>1992</v>
      </c>
      <c r="L91" s="34" t="s">
        <v>1992</v>
      </c>
      <c r="M91" s="34"/>
      <c r="N91" s="34"/>
      <c r="O91" s="34"/>
      <c r="P91" s="102"/>
      <c r="Q91" s="34"/>
      <c r="R91" s="102"/>
    </row>
    <row r="92" spans="1:18" ht="16.5" x14ac:dyDescent="0.35">
      <c r="A92" s="34" t="s">
        <v>1989</v>
      </c>
      <c r="B92" s="34" t="s">
        <v>1990</v>
      </c>
      <c r="C92" s="20" t="s">
        <v>157</v>
      </c>
      <c r="D92" s="34">
        <v>12</v>
      </c>
      <c r="E92" s="34">
        <v>170</v>
      </c>
      <c r="F92" s="254">
        <v>2.19</v>
      </c>
      <c r="G92" s="174" t="s">
        <v>2005</v>
      </c>
      <c r="H92" s="34" t="s">
        <v>1992</v>
      </c>
      <c r="I92" s="34" t="s">
        <v>1992</v>
      </c>
      <c r="J92" s="20" t="s">
        <v>1992</v>
      </c>
      <c r="K92" s="34" t="s">
        <v>1992</v>
      </c>
      <c r="L92" s="34" t="s">
        <v>1992</v>
      </c>
      <c r="M92" s="34"/>
      <c r="N92" s="34"/>
      <c r="O92" s="34"/>
      <c r="P92" s="102"/>
      <c r="Q92" s="34"/>
      <c r="R92" s="102"/>
    </row>
    <row r="93" spans="1:18" ht="16.5" x14ac:dyDescent="0.35">
      <c r="A93" s="34" t="s">
        <v>1986</v>
      </c>
      <c r="B93" s="34" t="s">
        <v>1986</v>
      </c>
      <c r="C93" s="20" t="s">
        <v>158</v>
      </c>
      <c r="D93" s="34">
        <v>18</v>
      </c>
      <c r="E93" s="34">
        <v>170</v>
      </c>
      <c r="F93" s="254">
        <v>13.14</v>
      </c>
      <c r="G93" s="174" t="s">
        <v>568</v>
      </c>
      <c r="H93" s="34" t="s">
        <v>1643</v>
      </c>
      <c r="I93" s="34">
        <v>27</v>
      </c>
      <c r="J93" s="104" t="str">
        <f>HYPERLINK("https://www.examplebusiness.com/resource-center/lifestyle/should-you-choose-a-fixed-or-variable","https://www.examplebusiness.com/resource-center/lifestyle/should-you-choose-a-fixed-or-variable")</f>
        <v>https://www.examplebusiness.com/resource-center/lifestyle/should-you-choose-a-fixed-or-variable</v>
      </c>
      <c r="K93" s="34" t="s">
        <v>1643</v>
      </c>
      <c r="L93" s="34" t="s">
        <v>1643</v>
      </c>
      <c r="M93" s="34"/>
      <c r="N93" s="34"/>
      <c r="O93" s="34"/>
      <c r="P93" s="102"/>
      <c r="Q93" s="34"/>
      <c r="R93" s="102"/>
    </row>
    <row r="94" spans="1:18" ht="16.5" x14ac:dyDescent="0.35">
      <c r="A94" s="34" t="s">
        <v>1986</v>
      </c>
      <c r="B94" s="34" t="s">
        <v>1986</v>
      </c>
      <c r="C94" s="20" t="s">
        <v>159</v>
      </c>
      <c r="D94" s="34">
        <v>11</v>
      </c>
      <c r="E94" s="34">
        <v>170</v>
      </c>
      <c r="F94" s="254">
        <v>0</v>
      </c>
      <c r="G94" s="174" t="s">
        <v>620</v>
      </c>
      <c r="H94" s="34" t="s">
        <v>1643</v>
      </c>
      <c r="I94" s="34">
        <v>57</v>
      </c>
      <c r="J94" s="104" t="str">
        <f>HYPERLINK("https://www.examplebusiness.com/resource-center/investment/how-compound-interest-works","https://www.examplebusiness.com/resource-center/investment/how-compound-interest-works")</f>
        <v>https://www.examplebusiness.com/resource-center/investment/how-compound-interest-works</v>
      </c>
      <c r="K94" s="34" t="s">
        <v>1643</v>
      </c>
      <c r="L94" s="34" t="s">
        <v>1643</v>
      </c>
      <c r="M94" s="34"/>
      <c r="N94" s="34"/>
      <c r="O94" s="34"/>
      <c r="P94" s="102"/>
      <c r="Q94" s="34"/>
      <c r="R94" s="102"/>
    </row>
    <row r="95" spans="1:18" ht="16.5" x14ac:dyDescent="0.35">
      <c r="A95" s="34" t="s">
        <v>1993</v>
      </c>
      <c r="B95" s="34" t="s">
        <v>1986</v>
      </c>
      <c r="C95" s="20" t="s">
        <v>160</v>
      </c>
      <c r="D95" s="34">
        <v>0</v>
      </c>
      <c r="E95" s="34">
        <v>170</v>
      </c>
      <c r="F95" s="254">
        <v>4.03</v>
      </c>
      <c r="G95" s="174" t="s">
        <v>603</v>
      </c>
      <c r="H95" s="34" t="s">
        <v>1643</v>
      </c>
      <c r="I95" s="34">
        <v>84</v>
      </c>
      <c r="J95" s="104" t="str">
        <f>HYPERLINK("https://www.examplebusiness.com/blog/teaching-money-mindfulness-to-your-children","https://www.examplebusiness.com/blog/teaching-money-mindfulness-to-your-children")</f>
        <v>https://www.examplebusiness.com/blog/teaching-money-mindfulness-to-your-children</v>
      </c>
      <c r="K95" s="34" t="s">
        <v>1643</v>
      </c>
      <c r="L95" s="34" t="s">
        <v>1643</v>
      </c>
      <c r="M95" s="34"/>
      <c r="N95" s="34"/>
      <c r="O95" s="34"/>
      <c r="P95" s="102"/>
      <c r="Q95" s="34"/>
      <c r="R95" s="102"/>
    </row>
    <row r="96" spans="1:18" ht="16.5" x14ac:dyDescent="0.35">
      <c r="A96" s="34" t="s">
        <v>1986</v>
      </c>
      <c r="B96" s="34" t="s">
        <v>1986</v>
      </c>
      <c r="C96" s="20" t="s">
        <v>161</v>
      </c>
      <c r="D96" s="34">
        <v>16</v>
      </c>
      <c r="E96" s="34">
        <v>170</v>
      </c>
      <c r="F96" s="254">
        <v>0</v>
      </c>
      <c r="G96" s="174" t="s">
        <v>568</v>
      </c>
      <c r="H96" s="34" t="s">
        <v>1643</v>
      </c>
      <c r="I96" s="34">
        <v>82</v>
      </c>
      <c r="J96" s="104" t="str">
        <f>HYPERLINK("https://www.examplebusiness.com/resource-center/retirement/women-on-the-rise","https://www.examplebusiness.com/resource-center/retirement/women-on-the-rise")</f>
        <v>https://www.examplebusiness.com/resource-center/retirement/women-on-the-rise</v>
      </c>
      <c r="K96" s="34" t="s">
        <v>1643</v>
      </c>
      <c r="L96" s="34" t="s">
        <v>1643</v>
      </c>
      <c r="M96" s="34"/>
      <c r="N96" s="34"/>
      <c r="O96" s="34"/>
      <c r="P96" s="102"/>
      <c r="Q96" s="34"/>
      <c r="R96" s="102"/>
    </row>
    <row r="97" spans="1:18" ht="16.5" x14ac:dyDescent="0.35">
      <c r="A97" s="34" t="s">
        <v>1986</v>
      </c>
      <c r="B97" s="34" t="s">
        <v>1986</v>
      </c>
      <c r="C97" s="20" t="s">
        <v>162</v>
      </c>
      <c r="D97" s="34">
        <v>9</v>
      </c>
      <c r="E97" s="34">
        <v>170</v>
      </c>
      <c r="F97" s="254">
        <v>0</v>
      </c>
      <c r="G97" s="174" t="s">
        <v>571</v>
      </c>
      <c r="H97" s="34" t="s">
        <v>1643</v>
      </c>
      <c r="I97" s="34">
        <v>100</v>
      </c>
      <c r="J97" s="104" t="str">
        <f>HYPERLINK("http://www.examplebusiness.com/resource-center/investment/the-abcs-of-zero-coupon-bonds","http://www.examplebusiness.com/resource-center/investment/the-abcs-of-zero-coupon-bonds")</f>
        <v>http://www.examplebusiness.com/resource-center/investment/the-abcs-of-zero-coupon-bonds</v>
      </c>
      <c r="K97" s="34" t="s">
        <v>1643</v>
      </c>
      <c r="L97" s="34" t="s">
        <v>1643</v>
      </c>
      <c r="M97" s="34"/>
      <c r="N97" s="34"/>
      <c r="O97" s="34"/>
      <c r="P97" s="102"/>
      <c r="Q97" s="34"/>
      <c r="R97" s="102"/>
    </row>
    <row r="98" spans="1:18" ht="16.5" x14ac:dyDescent="0.35">
      <c r="A98" s="34" t="s">
        <v>1989</v>
      </c>
      <c r="B98" s="34" t="s">
        <v>1990</v>
      </c>
      <c r="C98" s="20" t="s">
        <v>163</v>
      </c>
      <c r="D98" s="34"/>
      <c r="E98" s="34">
        <v>165</v>
      </c>
      <c r="F98" s="254">
        <v>3.94</v>
      </c>
      <c r="G98" s="174"/>
      <c r="H98" s="34" t="s">
        <v>1992</v>
      </c>
      <c r="I98" s="34" t="s">
        <v>1992</v>
      </c>
      <c r="J98" s="20" t="s">
        <v>1992</v>
      </c>
      <c r="K98" s="34" t="s">
        <v>1992</v>
      </c>
      <c r="L98" s="34" t="s">
        <v>1992</v>
      </c>
      <c r="M98" s="34"/>
      <c r="N98" s="34"/>
      <c r="O98" s="34"/>
      <c r="P98" s="102"/>
      <c r="Q98" s="34"/>
      <c r="R98" s="102"/>
    </row>
    <row r="99" spans="1:18" ht="16.5" x14ac:dyDescent="0.35">
      <c r="A99" s="34" t="s">
        <v>1989</v>
      </c>
      <c r="B99" s="34" t="s">
        <v>1990</v>
      </c>
      <c r="C99" s="20" t="s">
        <v>164</v>
      </c>
      <c r="D99" s="34"/>
      <c r="E99" s="34">
        <v>165</v>
      </c>
      <c r="F99" s="254">
        <v>0.88</v>
      </c>
      <c r="G99" s="174"/>
      <c r="H99" s="34" t="s">
        <v>1992</v>
      </c>
      <c r="I99" s="34" t="s">
        <v>1992</v>
      </c>
      <c r="J99" s="20" t="s">
        <v>1992</v>
      </c>
      <c r="K99" s="34" t="s">
        <v>1992</v>
      </c>
      <c r="L99" s="34" t="s">
        <v>1992</v>
      </c>
      <c r="M99" s="34"/>
      <c r="N99" s="34"/>
      <c r="O99" s="34"/>
      <c r="P99" s="102"/>
      <c r="Q99" s="34"/>
      <c r="R99" s="102"/>
    </row>
    <row r="100" spans="1:18" ht="16.5" x14ac:dyDescent="0.35">
      <c r="A100" s="34" t="s">
        <v>1989</v>
      </c>
      <c r="B100" s="34" t="s">
        <v>1987</v>
      </c>
      <c r="C100" s="20" t="s">
        <v>165</v>
      </c>
      <c r="D100" s="34">
        <v>9</v>
      </c>
      <c r="E100" s="34">
        <v>160</v>
      </c>
      <c r="F100" s="254">
        <v>0</v>
      </c>
      <c r="G100" s="174" t="s">
        <v>2007</v>
      </c>
      <c r="H100" s="34" t="s">
        <v>1992</v>
      </c>
      <c r="I100" s="34" t="s">
        <v>1992</v>
      </c>
      <c r="J100" s="20" t="s">
        <v>1992</v>
      </c>
      <c r="K100" s="34" t="s">
        <v>1992</v>
      </c>
      <c r="L100" s="34" t="s">
        <v>1992</v>
      </c>
      <c r="M100" s="34"/>
      <c r="N100" s="34"/>
      <c r="O100" s="34"/>
      <c r="P100" s="102"/>
      <c r="Q100" s="34"/>
      <c r="R100" s="102"/>
    </row>
    <row r="101" spans="1:18" ht="16.5" x14ac:dyDescent="0.35">
      <c r="A101" s="34" t="s">
        <v>1989</v>
      </c>
      <c r="B101" s="34" t="s">
        <v>1987</v>
      </c>
      <c r="C101" s="20" t="s">
        <v>166</v>
      </c>
      <c r="D101" s="34">
        <v>56</v>
      </c>
      <c r="E101" s="34">
        <v>160</v>
      </c>
      <c r="F101" s="254">
        <v>16.434999999999999</v>
      </c>
      <c r="G101" s="174" t="s">
        <v>572</v>
      </c>
      <c r="H101" s="34" t="s">
        <v>1992</v>
      </c>
      <c r="I101" s="34" t="s">
        <v>1992</v>
      </c>
      <c r="J101" s="20" t="s">
        <v>1992</v>
      </c>
      <c r="K101" s="34" t="s">
        <v>1992</v>
      </c>
      <c r="L101" s="34" t="s">
        <v>1992</v>
      </c>
      <c r="M101" s="34"/>
      <c r="N101" s="34"/>
      <c r="O101" s="34"/>
      <c r="P101" s="102"/>
      <c r="Q101" s="34"/>
      <c r="R101" s="102"/>
    </row>
    <row r="102" spans="1:18" ht="16.5" x14ac:dyDescent="0.35">
      <c r="A102" s="34" t="s">
        <v>1986</v>
      </c>
      <c r="B102" s="34" t="s">
        <v>1986</v>
      </c>
      <c r="C102" s="20" t="s">
        <v>2552</v>
      </c>
      <c r="D102" s="34">
        <v>1</v>
      </c>
      <c r="E102" s="34">
        <v>160</v>
      </c>
      <c r="F102" s="254">
        <v>0</v>
      </c>
      <c r="G102" s="174" t="s">
        <v>570</v>
      </c>
      <c r="H102" s="34" t="s">
        <v>1643</v>
      </c>
      <c r="I102" s="34">
        <v>32</v>
      </c>
      <c r="J102" s="104" t="str">
        <f>HYPERLINK("https://www.examplebusiness.com/","https://www.examplebusiness.com/")</f>
        <v>https://www.examplebusiness.com/</v>
      </c>
      <c r="K102" s="34" t="s">
        <v>1643</v>
      </c>
      <c r="L102" s="34" t="s">
        <v>1643</v>
      </c>
      <c r="M102" s="34"/>
      <c r="N102" s="34"/>
      <c r="O102" s="34"/>
      <c r="P102" s="102"/>
      <c r="Q102" s="34"/>
      <c r="R102" s="102"/>
    </row>
    <row r="103" spans="1:18" ht="16.5" x14ac:dyDescent="0.35">
      <c r="A103" s="34" t="s">
        <v>1986</v>
      </c>
      <c r="B103" s="34" t="s">
        <v>1986</v>
      </c>
      <c r="C103" s="20" t="s">
        <v>168</v>
      </c>
      <c r="D103" s="34">
        <v>1</v>
      </c>
      <c r="E103" s="34">
        <v>160</v>
      </c>
      <c r="F103" s="254">
        <v>0</v>
      </c>
      <c r="G103" s="174" t="s">
        <v>653</v>
      </c>
      <c r="H103" s="34" t="s">
        <v>1643</v>
      </c>
      <c r="I103" s="34">
        <v>87</v>
      </c>
      <c r="J103" s="104" t="str">
        <f>HYPERLINK("https://www.examplebusiness.com/blog/how-a-Example-professional-can-guide-you-through-choppy-seas","https://www.examplebusiness.com/blog/how-a-Example-professional-can-guide-you-through-choppy-seas")</f>
        <v>https://www.examplebusiness.com/blog/how-a-Example-professional-can-guide-you-through-choppy-seas</v>
      </c>
      <c r="K103" s="34" t="s">
        <v>1643</v>
      </c>
      <c r="L103" s="34" t="s">
        <v>1643</v>
      </c>
      <c r="M103" s="34"/>
      <c r="N103" s="34"/>
      <c r="O103" s="34"/>
      <c r="P103" s="102"/>
      <c r="Q103" s="34"/>
      <c r="R103" s="102"/>
    </row>
    <row r="104" spans="1:18" ht="16.5" x14ac:dyDescent="0.35">
      <c r="A104" s="34" t="s">
        <v>1989</v>
      </c>
      <c r="B104" s="34" t="s">
        <v>1994</v>
      </c>
      <c r="C104" s="20" t="s">
        <v>169</v>
      </c>
      <c r="D104" s="34">
        <v>17</v>
      </c>
      <c r="E104" s="34">
        <v>155</v>
      </c>
      <c r="F104" s="254">
        <v>12.215</v>
      </c>
      <c r="G104" s="174" t="s">
        <v>2008</v>
      </c>
      <c r="H104" s="34" t="s">
        <v>1992</v>
      </c>
      <c r="I104" s="34" t="s">
        <v>1992</v>
      </c>
      <c r="J104" s="20" t="s">
        <v>1992</v>
      </c>
      <c r="K104" s="34" t="s">
        <v>1992</v>
      </c>
      <c r="L104" s="34" t="s">
        <v>1992</v>
      </c>
      <c r="M104" s="34"/>
      <c r="N104" s="34"/>
      <c r="O104" s="34"/>
      <c r="P104" s="102"/>
      <c r="Q104" s="34"/>
      <c r="R104" s="102"/>
    </row>
    <row r="105" spans="1:18" ht="16.5" x14ac:dyDescent="0.35">
      <c r="A105" s="34" t="s">
        <v>1989</v>
      </c>
      <c r="B105" s="34" t="s">
        <v>1994</v>
      </c>
      <c r="C105" s="20" t="s">
        <v>170</v>
      </c>
      <c r="D105" s="34">
        <v>41</v>
      </c>
      <c r="E105" s="34">
        <v>155</v>
      </c>
      <c r="F105" s="254">
        <v>17.579999999999998</v>
      </c>
      <c r="G105" s="174" t="s">
        <v>2009</v>
      </c>
      <c r="H105" s="34" t="s">
        <v>1992</v>
      </c>
      <c r="I105" s="34" t="s">
        <v>1992</v>
      </c>
      <c r="J105" s="20" t="s">
        <v>1992</v>
      </c>
      <c r="K105" s="34" t="s">
        <v>1992</v>
      </c>
      <c r="L105" s="34" t="s">
        <v>1992</v>
      </c>
      <c r="M105" s="34"/>
      <c r="N105" s="34"/>
      <c r="O105" s="34"/>
      <c r="P105" s="102"/>
      <c r="Q105" s="34"/>
      <c r="R105" s="102"/>
    </row>
    <row r="106" spans="1:18" ht="16.5" x14ac:dyDescent="0.35">
      <c r="A106" s="34" t="s">
        <v>1989</v>
      </c>
      <c r="B106" s="34" t="s">
        <v>1987</v>
      </c>
      <c r="C106" s="20" t="s">
        <v>171</v>
      </c>
      <c r="D106" s="34">
        <v>50</v>
      </c>
      <c r="E106" s="34">
        <v>155</v>
      </c>
      <c r="F106" s="254">
        <v>6.49</v>
      </c>
      <c r="G106" s="174" t="s">
        <v>2004</v>
      </c>
      <c r="H106" s="34" t="s">
        <v>1992</v>
      </c>
      <c r="I106" s="34" t="s">
        <v>1992</v>
      </c>
      <c r="J106" s="20" t="s">
        <v>1992</v>
      </c>
      <c r="K106" s="34" t="s">
        <v>1992</v>
      </c>
      <c r="L106" s="34" t="s">
        <v>1992</v>
      </c>
      <c r="M106" s="34"/>
      <c r="N106" s="34"/>
      <c r="O106" s="34"/>
      <c r="P106" s="102"/>
      <c r="Q106" s="34"/>
      <c r="R106" s="102"/>
    </row>
    <row r="107" spans="1:18" ht="16.5" x14ac:dyDescent="0.35">
      <c r="A107" s="34" t="s">
        <v>1986</v>
      </c>
      <c r="B107" s="34" t="s">
        <v>1986</v>
      </c>
      <c r="C107" s="20" t="s">
        <v>2535</v>
      </c>
      <c r="D107" s="34">
        <v>8</v>
      </c>
      <c r="E107" s="34">
        <v>155</v>
      </c>
      <c r="F107" s="254">
        <v>13.85</v>
      </c>
      <c r="G107" s="174" t="s">
        <v>1995</v>
      </c>
      <c r="H107" s="34" t="s">
        <v>1992</v>
      </c>
      <c r="I107" s="34" t="s">
        <v>1992</v>
      </c>
      <c r="J107" s="20" t="s">
        <v>1992</v>
      </c>
      <c r="K107" s="34" t="s">
        <v>1992</v>
      </c>
      <c r="L107" s="34" t="s">
        <v>1992</v>
      </c>
      <c r="M107" s="34"/>
      <c r="N107" s="34"/>
      <c r="O107" s="34"/>
      <c r="P107" s="102"/>
      <c r="Q107" s="34"/>
      <c r="R107" s="102"/>
    </row>
    <row r="108" spans="1:18" ht="16.5" x14ac:dyDescent="0.35">
      <c r="A108" s="34" t="s">
        <v>1986</v>
      </c>
      <c r="B108" s="34" t="s">
        <v>1986</v>
      </c>
      <c r="C108" s="20" t="s">
        <v>173</v>
      </c>
      <c r="D108" s="34">
        <v>75</v>
      </c>
      <c r="E108" s="34">
        <v>155</v>
      </c>
      <c r="F108" s="254">
        <v>0</v>
      </c>
      <c r="G108" s="174" t="s">
        <v>572</v>
      </c>
      <c r="H108" s="34" t="s">
        <v>1643</v>
      </c>
      <c r="I108" s="34">
        <v>19</v>
      </c>
      <c r="J108" s="104" t="str">
        <f>HYPERLINK("https://www.examplebusiness.com/","https://www.examplebusiness.com/")</f>
        <v>https://www.examplebusiness.com/</v>
      </c>
      <c r="K108" s="34" t="s">
        <v>1643</v>
      </c>
      <c r="L108" s="34" t="s">
        <v>1643</v>
      </c>
      <c r="M108" s="34"/>
      <c r="N108" s="34"/>
      <c r="O108" s="34"/>
      <c r="P108" s="102"/>
      <c r="Q108" s="34"/>
      <c r="R108" s="102"/>
    </row>
    <row r="109" spans="1:18" ht="16.5" x14ac:dyDescent="0.35">
      <c r="A109" s="34" t="s">
        <v>1986</v>
      </c>
      <c r="B109" s="34" t="s">
        <v>1986</v>
      </c>
      <c r="C109" s="20" t="s">
        <v>174</v>
      </c>
      <c r="D109" s="34">
        <v>24</v>
      </c>
      <c r="E109" s="34">
        <v>155</v>
      </c>
      <c r="F109" s="254">
        <v>0</v>
      </c>
      <c r="G109" s="174" t="s">
        <v>568</v>
      </c>
      <c r="H109" s="34" t="s">
        <v>1643</v>
      </c>
      <c r="I109" s="34">
        <v>30</v>
      </c>
      <c r="J109" s="104" t="str">
        <f>HYPERLINK("https://www.examplebusiness.com/","https://www.examplebusiness.com/")</f>
        <v>https://www.examplebusiness.com/</v>
      </c>
      <c r="K109" s="34" t="s">
        <v>1643</v>
      </c>
      <c r="L109" s="34" t="s">
        <v>1643</v>
      </c>
      <c r="M109" s="34"/>
      <c r="N109" s="34"/>
      <c r="O109" s="34"/>
      <c r="P109" s="102"/>
      <c r="Q109" s="34"/>
      <c r="R109" s="102"/>
    </row>
    <row r="110" spans="1:18" ht="16.5" x14ac:dyDescent="0.35">
      <c r="A110" s="34" t="s">
        <v>1986</v>
      </c>
      <c r="B110" s="34" t="s">
        <v>1986</v>
      </c>
      <c r="C110" s="20" t="s">
        <v>175</v>
      </c>
      <c r="D110" s="34">
        <v>33</v>
      </c>
      <c r="E110" s="34">
        <v>155</v>
      </c>
      <c r="F110" s="254">
        <v>5.37</v>
      </c>
      <c r="G110" s="174" t="s">
        <v>631</v>
      </c>
      <c r="H110" s="34" t="s">
        <v>1643</v>
      </c>
      <c r="I110" s="34">
        <v>86</v>
      </c>
      <c r="J110" s="104" t="str">
        <f>HYPERLINK("https://www.examplebusiness.com/resource-center/retirement/what-is-a-roth-401k","https://www.examplebusiness.com/resource-center/retirement/what-is-a-roth-401k")</f>
        <v>https://www.examplebusiness.com/resource-center/retirement/what-is-a-roth-401k</v>
      </c>
      <c r="K110" s="34" t="s">
        <v>1643</v>
      </c>
      <c r="L110" s="34" t="s">
        <v>1643</v>
      </c>
      <c r="M110" s="34"/>
      <c r="N110" s="34"/>
      <c r="O110" s="34"/>
      <c r="P110" s="102"/>
      <c r="Q110" s="34"/>
      <c r="R110" s="102"/>
    </row>
    <row r="111" spans="1:18" ht="16.5" x14ac:dyDescent="0.35">
      <c r="A111" s="34" t="s">
        <v>1986</v>
      </c>
      <c r="B111" s="34" t="s">
        <v>1986</v>
      </c>
      <c r="C111" s="20" t="s">
        <v>176</v>
      </c>
      <c r="D111" s="34">
        <v>50</v>
      </c>
      <c r="E111" s="34">
        <v>150</v>
      </c>
      <c r="F111" s="254" t="s">
        <v>70</v>
      </c>
      <c r="G111" s="174" t="s">
        <v>635</v>
      </c>
      <c r="H111" s="34" t="s">
        <v>1643</v>
      </c>
      <c r="I111" s="34">
        <v>66</v>
      </c>
      <c r="J111" s="104" t="str">
        <f>HYPERLINK("https://www.examplebusiness.com/resource-center/money/life-and-death-of-a-20-dollar-bill","https://www.examplebusiness.com/resource-center/money/life-and-death-of-a-20-dollar-bill")</f>
        <v>https://www.examplebusiness.com/resource-center/money/life-and-death-of-a-20-dollar-bill</v>
      </c>
      <c r="K111" s="34" t="s">
        <v>1643</v>
      </c>
      <c r="L111" s="34" t="s">
        <v>1643</v>
      </c>
      <c r="M111" s="34"/>
      <c r="N111" s="34"/>
      <c r="O111" s="34"/>
      <c r="P111" s="102"/>
      <c r="Q111" s="34"/>
      <c r="R111" s="102"/>
    </row>
    <row r="112" spans="1:18" ht="16.5" x14ac:dyDescent="0.35">
      <c r="A112" s="34" t="s">
        <v>1986</v>
      </c>
      <c r="B112" s="34" t="s">
        <v>1986</v>
      </c>
      <c r="C112" s="20" t="s">
        <v>2533</v>
      </c>
      <c r="D112" s="34">
        <v>2</v>
      </c>
      <c r="E112" s="34">
        <v>150</v>
      </c>
      <c r="F112" s="254">
        <v>12.25</v>
      </c>
      <c r="G112" s="174" t="s">
        <v>581</v>
      </c>
      <c r="H112" s="34" t="s">
        <v>1643</v>
      </c>
      <c r="I112" s="34">
        <v>81</v>
      </c>
      <c r="J112" s="104" t="str">
        <f>HYPERLINK("https://www.examplebusiness.com/","https://www.examplebusiness.com/")</f>
        <v>https://www.examplebusiness.com/</v>
      </c>
      <c r="K112" s="34" t="s">
        <v>1643</v>
      </c>
      <c r="L112" s="34" t="s">
        <v>1643</v>
      </c>
      <c r="M112" s="34"/>
      <c r="N112" s="34"/>
      <c r="O112" s="34"/>
      <c r="P112" s="102"/>
      <c r="Q112" s="34"/>
      <c r="R112" s="102"/>
    </row>
    <row r="113" spans="1:18" ht="16.5" x14ac:dyDescent="0.35">
      <c r="A113" s="34" t="s">
        <v>1989</v>
      </c>
      <c r="B113" s="34" t="s">
        <v>1994</v>
      </c>
      <c r="C113" s="20" t="s">
        <v>178</v>
      </c>
      <c r="D113" s="34">
        <v>4</v>
      </c>
      <c r="E113" s="34">
        <v>145</v>
      </c>
      <c r="F113" s="254">
        <v>8.0449999999999999</v>
      </c>
      <c r="G113" s="174" t="s">
        <v>2010</v>
      </c>
      <c r="H113" s="34" t="s">
        <v>1992</v>
      </c>
      <c r="I113" s="34" t="s">
        <v>1992</v>
      </c>
      <c r="J113" s="20" t="s">
        <v>1992</v>
      </c>
      <c r="K113" s="34" t="s">
        <v>1992</v>
      </c>
      <c r="L113" s="34" t="s">
        <v>1992</v>
      </c>
      <c r="M113" s="34"/>
      <c r="N113" s="34"/>
      <c r="O113" s="34"/>
      <c r="P113" s="102"/>
      <c r="Q113" s="34"/>
      <c r="R113" s="102"/>
    </row>
    <row r="114" spans="1:18" ht="16.5" x14ac:dyDescent="0.35">
      <c r="A114" s="34" t="s">
        <v>1986</v>
      </c>
      <c r="B114" s="34" t="s">
        <v>1986</v>
      </c>
      <c r="C114" s="20" t="s">
        <v>2539</v>
      </c>
      <c r="D114" s="34">
        <v>13</v>
      </c>
      <c r="E114" s="34">
        <v>145</v>
      </c>
      <c r="F114" s="254">
        <v>28.99</v>
      </c>
      <c r="G114" s="174" t="s">
        <v>2011</v>
      </c>
      <c r="H114" s="34" t="s">
        <v>1992</v>
      </c>
      <c r="I114" s="34" t="s">
        <v>1992</v>
      </c>
      <c r="J114" s="20" t="s">
        <v>1992</v>
      </c>
      <c r="K114" s="34" t="s">
        <v>1992</v>
      </c>
      <c r="L114" s="34" t="s">
        <v>1992</v>
      </c>
      <c r="M114" s="34"/>
      <c r="N114" s="34"/>
      <c r="O114" s="34"/>
      <c r="P114" s="102"/>
      <c r="Q114" s="34"/>
      <c r="R114" s="102"/>
    </row>
    <row r="115" spans="1:18" ht="16.5" x14ac:dyDescent="0.35">
      <c r="A115" s="34" t="s">
        <v>1986</v>
      </c>
      <c r="B115" s="34" t="s">
        <v>1986</v>
      </c>
      <c r="C115" s="20" t="s">
        <v>2538</v>
      </c>
      <c r="D115" s="34">
        <v>13</v>
      </c>
      <c r="E115" s="34">
        <v>145</v>
      </c>
      <c r="F115" s="254">
        <v>28.99</v>
      </c>
      <c r="G115" s="174"/>
      <c r="H115" s="34" t="s">
        <v>1992</v>
      </c>
      <c r="I115" s="34" t="s">
        <v>1992</v>
      </c>
      <c r="J115" s="20" t="s">
        <v>1992</v>
      </c>
      <c r="K115" s="34" t="s">
        <v>1992</v>
      </c>
      <c r="L115" s="34" t="s">
        <v>1992</v>
      </c>
      <c r="M115" s="34"/>
      <c r="N115" s="34"/>
      <c r="O115" s="34"/>
      <c r="P115" s="102"/>
      <c r="Q115" s="34"/>
      <c r="R115" s="102"/>
    </row>
    <row r="116" spans="1:18" ht="16.5" x14ac:dyDescent="0.35">
      <c r="A116" s="34" t="s">
        <v>1986</v>
      </c>
      <c r="B116" s="34" t="s">
        <v>1986</v>
      </c>
      <c r="C116" s="20" t="s">
        <v>2494</v>
      </c>
      <c r="D116" s="34">
        <v>7</v>
      </c>
      <c r="E116" s="34">
        <v>145</v>
      </c>
      <c r="F116" s="254">
        <v>0</v>
      </c>
      <c r="G116" s="174" t="s">
        <v>571</v>
      </c>
      <c r="H116" s="34" t="s">
        <v>1643</v>
      </c>
      <c r="I116" s="34">
        <v>5</v>
      </c>
      <c r="J116" s="104" t="str">
        <f>HYPERLINK("https://www.examplebusiness.com/","https://www.examplebusiness.com/")</f>
        <v>https://www.examplebusiness.com/</v>
      </c>
      <c r="K116" s="34" t="s">
        <v>1643</v>
      </c>
      <c r="L116" s="34" t="s">
        <v>1643</v>
      </c>
      <c r="M116" s="34"/>
      <c r="N116" s="34"/>
      <c r="O116" s="34"/>
      <c r="P116" s="102"/>
      <c r="Q116" s="34"/>
      <c r="R116" s="102"/>
    </row>
    <row r="117" spans="1:18" ht="16.5" x14ac:dyDescent="0.35">
      <c r="A117" s="34" t="s">
        <v>1986</v>
      </c>
      <c r="B117" s="34" t="s">
        <v>1986</v>
      </c>
      <c r="C117" s="20" t="s">
        <v>180</v>
      </c>
      <c r="D117" s="34">
        <v>24</v>
      </c>
      <c r="E117" s="34">
        <v>145</v>
      </c>
      <c r="F117" s="254">
        <v>1.47</v>
      </c>
      <c r="G117" s="174" t="s">
        <v>572</v>
      </c>
      <c r="H117" s="34" t="s">
        <v>1643</v>
      </c>
      <c r="I117" s="34">
        <v>44</v>
      </c>
      <c r="J117" s="104" t="str">
        <f>HYPERLINK("https://www.examplebusiness.com/resource-center/insurance","https://www.examplebusiness.com/resource-center/insurance")</f>
        <v>https://www.examplebusiness.com/resource-center/insurance</v>
      </c>
      <c r="K117" s="34" t="s">
        <v>1643</v>
      </c>
      <c r="L117" s="34" t="s">
        <v>1643</v>
      </c>
      <c r="M117" s="34"/>
      <c r="N117" s="34"/>
      <c r="O117" s="34"/>
      <c r="P117" s="102"/>
      <c r="Q117" s="34"/>
      <c r="R117" s="102"/>
    </row>
    <row r="118" spans="1:18" ht="16.5" x14ac:dyDescent="0.35">
      <c r="A118" s="34" t="s">
        <v>1986</v>
      </c>
      <c r="B118" s="34" t="s">
        <v>1987</v>
      </c>
      <c r="C118" s="20" t="s">
        <v>181</v>
      </c>
      <c r="D118" s="34">
        <v>39</v>
      </c>
      <c r="E118" s="34">
        <v>145</v>
      </c>
      <c r="F118" s="254">
        <v>19.38</v>
      </c>
      <c r="G118" s="174" t="s">
        <v>603</v>
      </c>
      <c r="H118" s="34" t="s">
        <v>1643</v>
      </c>
      <c r="I118" s="34">
        <v>55</v>
      </c>
      <c r="J118" s="104" t="str">
        <f>HYPERLINK("https://www.examplebusiness.com/blog/socially-responsible-investing","https://www.examplebusiness.com/blog/socially-responsible-investing")</f>
        <v>https://www.examplebusiness.com/blog/socially-responsible-investing</v>
      </c>
      <c r="K118" s="34" t="s">
        <v>1643</v>
      </c>
      <c r="L118" s="34" t="s">
        <v>1643</v>
      </c>
      <c r="M118" s="34"/>
      <c r="N118" s="34"/>
      <c r="O118" s="34"/>
      <c r="P118" s="102"/>
      <c r="Q118" s="34"/>
      <c r="R118" s="102"/>
    </row>
    <row r="119" spans="1:18" ht="16.5" x14ac:dyDescent="0.35">
      <c r="A119" s="34" t="s">
        <v>1993</v>
      </c>
      <c r="B119" s="34" t="s">
        <v>1994</v>
      </c>
      <c r="C119" s="20" t="s">
        <v>182</v>
      </c>
      <c r="D119" s="34">
        <v>26</v>
      </c>
      <c r="E119" s="34">
        <v>135</v>
      </c>
      <c r="F119" s="254">
        <v>13.375</v>
      </c>
      <c r="G119" s="174" t="s">
        <v>572</v>
      </c>
      <c r="H119" s="34" t="s">
        <v>1992</v>
      </c>
      <c r="I119" s="34" t="s">
        <v>1992</v>
      </c>
      <c r="J119" s="20" t="s">
        <v>1992</v>
      </c>
      <c r="K119" s="34" t="s">
        <v>1992</v>
      </c>
      <c r="L119" s="34" t="s">
        <v>1992</v>
      </c>
      <c r="M119" s="34"/>
      <c r="N119" s="34"/>
      <c r="O119" s="34"/>
      <c r="P119" s="102"/>
      <c r="Q119" s="34"/>
      <c r="R119" s="102"/>
    </row>
    <row r="120" spans="1:18" ht="16.5" x14ac:dyDescent="0.35">
      <c r="A120" s="34" t="s">
        <v>1989</v>
      </c>
      <c r="B120" s="34" t="s">
        <v>1987</v>
      </c>
      <c r="C120" s="20" t="s">
        <v>183</v>
      </c>
      <c r="D120" s="34">
        <v>49</v>
      </c>
      <c r="E120" s="34">
        <v>135</v>
      </c>
      <c r="F120" s="254">
        <v>10.934999999999999</v>
      </c>
      <c r="G120" s="174" t="s">
        <v>2012</v>
      </c>
      <c r="H120" s="34" t="s">
        <v>1992</v>
      </c>
      <c r="I120" s="34" t="s">
        <v>1992</v>
      </c>
      <c r="J120" s="20" t="s">
        <v>1992</v>
      </c>
      <c r="K120" s="34" t="s">
        <v>1992</v>
      </c>
      <c r="L120" s="34" t="s">
        <v>1992</v>
      </c>
      <c r="M120" s="34"/>
      <c r="N120" s="34"/>
      <c r="O120" s="34"/>
      <c r="P120" s="102"/>
      <c r="Q120" s="34"/>
      <c r="R120" s="102"/>
    </row>
    <row r="121" spans="1:18" ht="16.5" x14ac:dyDescent="0.35">
      <c r="A121" s="34" t="s">
        <v>1989</v>
      </c>
      <c r="B121" s="34" t="s">
        <v>1994</v>
      </c>
      <c r="C121" s="20" t="s">
        <v>184</v>
      </c>
      <c r="D121" s="34">
        <v>37</v>
      </c>
      <c r="E121" s="34">
        <v>135</v>
      </c>
      <c r="F121" s="254">
        <v>12.175000000000001</v>
      </c>
      <c r="G121" s="174" t="s">
        <v>2013</v>
      </c>
      <c r="H121" s="34" t="s">
        <v>1992</v>
      </c>
      <c r="I121" s="34" t="s">
        <v>1992</v>
      </c>
      <c r="J121" s="20" t="s">
        <v>1992</v>
      </c>
      <c r="K121" s="34" t="s">
        <v>1992</v>
      </c>
      <c r="L121" s="34" t="s">
        <v>1992</v>
      </c>
      <c r="M121" s="34"/>
      <c r="N121" s="34"/>
      <c r="O121" s="34"/>
      <c r="P121" s="102"/>
      <c r="Q121" s="34"/>
      <c r="R121" s="102"/>
    </row>
    <row r="122" spans="1:18" ht="16.5" x14ac:dyDescent="0.35">
      <c r="A122" s="34" t="s">
        <v>1989</v>
      </c>
      <c r="B122" s="34" t="s">
        <v>1986</v>
      </c>
      <c r="C122" s="20" t="s">
        <v>2531</v>
      </c>
      <c r="D122" s="34">
        <v>48</v>
      </c>
      <c r="E122" s="34">
        <v>135</v>
      </c>
      <c r="F122" s="254">
        <v>16.259999999999998</v>
      </c>
      <c r="G122" s="174" t="s">
        <v>1998</v>
      </c>
      <c r="H122" s="34" t="s">
        <v>1992</v>
      </c>
      <c r="I122" s="34" t="s">
        <v>1992</v>
      </c>
      <c r="J122" s="20" t="s">
        <v>1992</v>
      </c>
      <c r="K122" s="34" t="s">
        <v>1992</v>
      </c>
      <c r="L122" s="34" t="s">
        <v>1992</v>
      </c>
      <c r="M122" s="34"/>
      <c r="N122" s="34"/>
      <c r="O122" s="34"/>
      <c r="P122" s="102"/>
      <c r="Q122" s="34"/>
      <c r="R122" s="102"/>
    </row>
    <row r="123" spans="1:18" ht="16.5" x14ac:dyDescent="0.35">
      <c r="A123" s="34" t="s">
        <v>1986</v>
      </c>
      <c r="B123" s="34" t="s">
        <v>1986</v>
      </c>
      <c r="C123" s="20" t="s">
        <v>185</v>
      </c>
      <c r="D123" s="34">
        <v>57</v>
      </c>
      <c r="E123" s="34">
        <v>135</v>
      </c>
      <c r="F123" s="254">
        <v>5.13</v>
      </c>
      <c r="G123" s="174" t="s">
        <v>611</v>
      </c>
      <c r="H123" s="34" t="s">
        <v>1643</v>
      </c>
      <c r="I123" s="34">
        <v>48</v>
      </c>
      <c r="J123" s="104" t="str">
        <f>HYPERLINK("https://www.examplebusiness.com/resource-center/investment/should-you-invest-in-exchange-traded-funds","https://www.examplebusiness.com/resource-center/investment/should-you-invest-in-exchange-traded-funds")</f>
        <v>https://www.examplebusiness.com/resource-center/investment/should-you-invest-in-exchange-traded-funds</v>
      </c>
      <c r="K123" s="34" t="s">
        <v>1643</v>
      </c>
      <c r="L123" s="34" t="s">
        <v>1643</v>
      </c>
      <c r="M123" s="34"/>
      <c r="N123" s="34"/>
      <c r="O123" s="34"/>
      <c r="P123" s="102"/>
      <c r="Q123" s="34"/>
      <c r="R123" s="102"/>
    </row>
    <row r="124" spans="1:18" ht="16.5" x14ac:dyDescent="0.35">
      <c r="A124" s="34" t="s">
        <v>1986</v>
      </c>
      <c r="B124" s="34" t="s">
        <v>1986</v>
      </c>
      <c r="C124" s="20" t="s">
        <v>2553</v>
      </c>
      <c r="D124" s="34">
        <v>0</v>
      </c>
      <c r="E124" s="34">
        <v>135</v>
      </c>
      <c r="F124" s="254">
        <v>0.06</v>
      </c>
      <c r="G124" s="174" t="s">
        <v>571</v>
      </c>
      <c r="H124" s="34" t="s">
        <v>1643</v>
      </c>
      <c r="I124" s="34">
        <v>84</v>
      </c>
      <c r="J124" s="104" t="str">
        <f>HYPERLINK("https://www.examplebusiness.com/team","https://www.examplebusiness.com/team")</f>
        <v>https://www.examplebusiness.com/team</v>
      </c>
      <c r="K124" s="34" t="s">
        <v>1643</v>
      </c>
      <c r="L124" s="34" t="s">
        <v>1643</v>
      </c>
      <c r="M124" s="34"/>
      <c r="N124" s="34"/>
      <c r="O124" s="34"/>
      <c r="P124" s="102"/>
      <c r="Q124" s="34"/>
      <c r="R124" s="102"/>
    </row>
    <row r="125" spans="1:18" ht="16.5" x14ac:dyDescent="0.35">
      <c r="A125" s="34" t="s">
        <v>1989</v>
      </c>
      <c r="B125" s="34" t="s">
        <v>1994</v>
      </c>
      <c r="C125" s="20" t="s">
        <v>187</v>
      </c>
      <c r="D125" s="34">
        <v>6</v>
      </c>
      <c r="E125" s="34">
        <v>130</v>
      </c>
      <c r="F125" s="254">
        <v>14.23</v>
      </c>
      <c r="G125" s="174" t="s">
        <v>572</v>
      </c>
      <c r="H125" s="34" t="s">
        <v>1992</v>
      </c>
      <c r="I125" s="34" t="s">
        <v>1992</v>
      </c>
      <c r="J125" s="20" t="s">
        <v>1992</v>
      </c>
      <c r="K125" s="34" t="s">
        <v>1992</v>
      </c>
      <c r="L125" s="34" t="s">
        <v>1992</v>
      </c>
      <c r="M125" s="34"/>
      <c r="N125" s="34"/>
      <c r="O125" s="34"/>
      <c r="P125" s="102"/>
      <c r="Q125" s="34"/>
      <c r="R125" s="102"/>
    </row>
    <row r="126" spans="1:18" ht="16.5" x14ac:dyDescent="0.35">
      <c r="A126" s="34" t="s">
        <v>1989</v>
      </c>
      <c r="B126" s="34" t="s">
        <v>1994</v>
      </c>
      <c r="C126" s="20" t="s">
        <v>2554</v>
      </c>
      <c r="D126" s="34">
        <v>86</v>
      </c>
      <c r="E126" s="34">
        <v>130</v>
      </c>
      <c r="F126" s="254">
        <v>12.58</v>
      </c>
      <c r="G126" s="174" t="s">
        <v>2002</v>
      </c>
      <c r="H126" s="34" t="s">
        <v>1992</v>
      </c>
      <c r="I126" s="34" t="s">
        <v>1992</v>
      </c>
      <c r="J126" s="20" t="s">
        <v>1992</v>
      </c>
      <c r="K126" s="34" t="s">
        <v>1992</v>
      </c>
      <c r="L126" s="34" t="s">
        <v>1992</v>
      </c>
      <c r="M126" s="34"/>
      <c r="N126" s="34"/>
      <c r="O126" s="34"/>
      <c r="P126" s="102"/>
      <c r="Q126" s="34"/>
      <c r="R126" s="102"/>
    </row>
    <row r="127" spans="1:18" ht="16.5" x14ac:dyDescent="0.35">
      <c r="A127" s="34" t="s">
        <v>1993</v>
      </c>
      <c r="B127" s="34" t="s">
        <v>1986</v>
      </c>
      <c r="C127" s="20" t="s">
        <v>188</v>
      </c>
      <c r="D127" s="34">
        <v>4</v>
      </c>
      <c r="E127" s="34">
        <v>130</v>
      </c>
      <c r="F127" s="254">
        <v>1.38</v>
      </c>
      <c r="G127" s="174" t="s">
        <v>571</v>
      </c>
      <c r="H127" s="34" t="s">
        <v>1643</v>
      </c>
      <c r="I127" s="34">
        <v>41</v>
      </c>
      <c r="J127" s="104" t="str">
        <f>HYPERLINK("https://www.examplebusiness.com/blog/teaching-money-mindfulness-to-your-children","https://www.examplebusiness.com/blog/teaching-money-mindfulness-to-your-children")</f>
        <v>https://www.examplebusiness.com/blog/teaching-money-mindfulness-to-your-children</v>
      </c>
      <c r="K127" s="34" t="s">
        <v>1643</v>
      </c>
      <c r="L127" s="34" t="s">
        <v>1643</v>
      </c>
      <c r="M127" s="34"/>
      <c r="N127" s="34"/>
      <c r="O127" s="34"/>
      <c r="P127" s="102"/>
      <c r="Q127" s="34"/>
      <c r="R127" s="102"/>
    </row>
    <row r="128" spans="1:18" ht="16.5" x14ac:dyDescent="0.35">
      <c r="A128" s="34" t="s">
        <v>1986</v>
      </c>
      <c r="B128" s="34" t="s">
        <v>1986</v>
      </c>
      <c r="C128" s="20" t="s">
        <v>2536</v>
      </c>
      <c r="D128" s="34">
        <v>12</v>
      </c>
      <c r="E128" s="34">
        <v>130</v>
      </c>
      <c r="F128" s="254">
        <v>11.08</v>
      </c>
      <c r="G128" s="174" t="s">
        <v>569</v>
      </c>
      <c r="H128" s="34" t="s">
        <v>1643</v>
      </c>
      <c r="I128" s="34">
        <v>69</v>
      </c>
      <c r="J128" s="104" t="str">
        <f>HYPERLINK("https://www.examplebusiness.com/","https://www.examplebusiness.com/")</f>
        <v>https://www.examplebusiness.com/</v>
      </c>
      <c r="K128" s="34" t="s">
        <v>1643</v>
      </c>
      <c r="L128" s="34" t="s">
        <v>1643</v>
      </c>
      <c r="M128" s="34"/>
      <c r="N128" s="34"/>
      <c r="O128" s="34"/>
      <c r="P128" s="102"/>
      <c r="Q128" s="34"/>
      <c r="R128" s="102"/>
    </row>
    <row r="129" spans="1:18" ht="16.5" x14ac:dyDescent="0.35">
      <c r="A129" s="34" t="s">
        <v>1988</v>
      </c>
      <c r="B129" s="34" t="s">
        <v>1986</v>
      </c>
      <c r="C129" s="20" t="s">
        <v>190</v>
      </c>
      <c r="D129" s="34">
        <v>46</v>
      </c>
      <c r="E129" s="34">
        <v>125</v>
      </c>
      <c r="F129" s="254">
        <v>6.79</v>
      </c>
      <c r="G129" s="174" t="s">
        <v>610</v>
      </c>
      <c r="H129" s="34" t="s">
        <v>1643</v>
      </c>
      <c r="I129" s="34">
        <v>44</v>
      </c>
      <c r="J129" s="104" t="str">
        <f>HYPERLINK("https://www.examplebusiness.com/resource-center/tax/how-income-taxes-work","https://www.examplebusiness.com/resource-center/tax/how-income-taxes-work")</f>
        <v>https://www.examplebusiness.com/resource-center/tax/how-income-taxes-work</v>
      </c>
      <c r="K129" s="34" t="s">
        <v>1643</v>
      </c>
      <c r="L129" s="34" t="s">
        <v>1643</v>
      </c>
      <c r="M129" s="34"/>
      <c r="N129" s="34"/>
      <c r="O129" s="34"/>
      <c r="P129" s="102"/>
      <c r="Q129" s="34"/>
      <c r="R129" s="102"/>
    </row>
    <row r="130" spans="1:18" ht="16.5" x14ac:dyDescent="0.35">
      <c r="A130" s="34" t="s">
        <v>1986</v>
      </c>
      <c r="B130" s="34" t="s">
        <v>1986</v>
      </c>
      <c r="C130" s="20" t="s">
        <v>191</v>
      </c>
      <c r="D130" s="34">
        <v>8</v>
      </c>
      <c r="E130" s="34">
        <v>125</v>
      </c>
      <c r="F130" s="254">
        <v>0</v>
      </c>
      <c r="G130" s="174" t="s">
        <v>568</v>
      </c>
      <c r="H130" s="34" t="s">
        <v>1643</v>
      </c>
      <c r="I130" s="34">
        <v>47</v>
      </c>
      <c r="J130" s="104" t="str">
        <f>HYPERLINK("https://www.examplebusiness.com/team/john-vanderpoel","https://www.examplebusiness.com/team/john-vanderpoel")</f>
        <v>https://www.examplebusiness.com/team/john-vanderpoel</v>
      </c>
      <c r="K130" s="34" t="s">
        <v>1643</v>
      </c>
      <c r="L130" s="34" t="s">
        <v>1643</v>
      </c>
      <c r="M130" s="34"/>
      <c r="N130" s="34"/>
      <c r="O130" s="34"/>
      <c r="P130" s="102"/>
      <c r="Q130" s="34"/>
      <c r="R130" s="102"/>
    </row>
    <row r="131" spans="1:18" ht="16.5" x14ac:dyDescent="0.35">
      <c r="A131" s="34" t="s">
        <v>1986</v>
      </c>
      <c r="B131" s="34" t="s">
        <v>1986</v>
      </c>
      <c r="C131" s="20" t="s">
        <v>192</v>
      </c>
      <c r="D131" s="34">
        <v>25</v>
      </c>
      <c r="E131" s="34">
        <v>125</v>
      </c>
      <c r="F131" s="254">
        <v>0</v>
      </c>
      <c r="G131" s="174" t="s">
        <v>600</v>
      </c>
      <c r="H131" s="34" t="s">
        <v>1643</v>
      </c>
      <c r="I131" s="34">
        <v>63</v>
      </c>
      <c r="J131" s="104" t="str">
        <f>HYPERLINK("https://www.examplebusiness.com/resource-center/retirement/what-is-a-roth-401k","https://www.examplebusiness.com/resource-center/retirement/what-is-a-roth-401k")</f>
        <v>https://www.examplebusiness.com/resource-center/retirement/what-is-a-roth-401k</v>
      </c>
      <c r="K131" s="34" t="s">
        <v>1643</v>
      </c>
      <c r="L131" s="34" t="s">
        <v>1643</v>
      </c>
      <c r="M131" s="34"/>
      <c r="N131" s="34"/>
      <c r="O131" s="34"/>
      <c r="P131" s="102"/>
      <c r="Q131" s="34"/>
      <c r="R131" s="102"/>
    </row>
    <row r="132" spans="1:18" ht="16.5" x14ac:dyDescent="0.35">
      <c r="A132" s="34" t="s">
        <v>1989</v>
      </c>
      <c r="B132" s="34" t="s">
        <v>1986</v>
      </c>
      <c r="C132" s="20" t="s">
        <v>193</v>
      </c>
      <c r="D132" s="34">
        <v>0</v>
      </c>
      <c r="E132" s="34">
        <v>120</v>
      </c>
      <c r="F132" s="254">
        <v>0</v>
      </c>
      <c r="G132" s="174" t="s">
        <v>613</v>
      </c>
      <c r="H132" s="34" t="s">
        <v>1643</v>
      </c>
      <c r="I132" s="34">
        <v>48</v>
      </c>
      <c r="J132" s="104" t="str">
        <f>HYPERLINK("https://www.examplebusiness.com/blog/resilience-perseverance-and-innovation","https://www.examplebusiness.com/blog/resilience-perseverance-and-innovation")</f>
        <v>https://www.examplebusiness.com/blog/resilience-perseverance-and-innovation</v>
      </c>
      <c r="K132" s="34" t="s">
        <v>1643</v>
      </c>
      <c r="L132" s="34" t="s">
        <v>1643</v>
      </c>
      <c r="M132" s="34"/>
      <c r="N132" s="34"/>
      <c r="O132" s="34"/>
      <c r="P132" s="102"/>
      <c r="Q132" s="34"/>
      <c r="R132" s="102"/>
    </row>
    <row r="133" spans="1:18" ht="16.5" x14ac:dyDescent="0.35">
      <c r="A133" s="34" t="s">
        <v>1986</v>
      </c>
      <c r="B133" s="34" t="s">
        <v>1986</v>
      </c>
      <c r="C133" s="20" t="s">
        <v>194</v>
      </c>
      <c r="D133" s="34">
        <v>2</v>
      </c>
      <c r="E133" s="34">
        <v>120</v>
      </c>
      <c r="F133" s="254">
        <v>0</v>
      </c>
      <c r="G133" s="174" t="s">
        <v>615</v>
      </c>
      <c r="H133" s="34" t="s">
        <v>1643</v>
      </c>
      <c r="I133" s="34">
        <v>55</v>
      </c>
      <c r="J133" s="104" t="str">
        <f>HYPERLINK("https://www.examplebusiness.com/resource-center/money/what-is-my-current-cash-flow","https://www.examplebusiness.com/resource-center/money/what-is-my-current-cash-flow")</f>
        <v>https://www.examplebusiness.com/resource-center/money/what-is-my-current-cash-flow</v>
      </c>
      <c r="K133" s="34" t="s">
        <v>1643</v>
      </c>
      <c r="L133" s="34" t="s">
        <v>1643</v>
      </c>
      <c r="M133" s="34"/>
      <c r="N133" s="34"/>
      <c r="O133" s="34"/>
      <c r="P133" s="102"/>
      <c r="Q133" s="34"/>
      <c r="R133" s="102"/>
    </row>
    <row r="134" spans="1:18" ht="16.5" x14ac:dyDescent="0.35">
      <c r="A134" s="34" t="s">
        <v>1989</v>
      </c>
      <c r="B134" s="34" t="s">
        <v>1986</v>
      </c>
      <c r="C134" s="20" t="s">
        <v>195</v>
      </c>
      <c r="D134" s="34">
        <v>33</v>
      </c>
      <c r="E134" s="34">
        <v>120</v>
      </c>
      <c r="F134" s="254">
        <v>6.81</v>
      </c>
      <c r="G134" s="174" t="s">
        <v>631</v>
      </c>
      <c r="H134" s="34" t="s">
        <v>1643</v>
      </c>
      <c r="I134" s="34">
        <v>92</v>
      </c>
      <c r="J134" s="104" t="str">
        <f>HYPERLINK("https://www.examplebusiness.com/blog/socially-responsible-investing","https://www.examplebusiness.com/blog/socially-responsible-investing")</f>
        <v>https://www.examplebusiness.com/blog/socially-responsible-investing</v>
      </c>
      <c r="K134" s="34" t="s">
        <v>1643</v>
      </c>
      <c r="L134" s="34" t="s">
        <v>1643</v>
      </c>
      <c r="M134" s="34"/>
      <c r="N134" s="34"/>
      <c r="O134" s="34"/>
      <c r="P134" s="102"/>
      <c r="Q134" s="34"/>
      <c r="R134" s="102"/>
    </row>
    <row r="135" spans="1:18" ht="16.5" x14ac:dyDescent="0.35">
      <c r="A135" s="34" t="s">
        <v>1986</v>
      </c>
      <c r="B135" s="34" t="s">
        <v>1986</v>
      </c>
      <c r="C135" s="20" t="s">
        <v>2555</v>
      </c>
      <c r="D135" s="34">
        <v>3</v>
      </c>
      <c r="E135" s="34">
        <v>120</v>
      </c>
      <c r="F135" s="254">
        <v>18.690000000000001</v>
      </c>
      <c r="G135" s="174" t="s">
        <v>572</v>
      </c>
      <c r="H135" s="34" t="s">
        <v>1643</v>
      </c>
      <c r="I135" s="34">
        <v>89</v>
      </c>
      <c r="J135" s="104" t="str">
        <f>HYPERLINK("https://www.examplebusiness.com/blog/abc-Example-acquires-true-north-capital-alliance","https://www.examplebusiness.com/blog/abc-Example-acquires-true-north-capital-alliance")</f>
        <v>https://www.examplebusiness.com/blog/abc-Example-acquires-true-north-capital-alliance</v>
      </c>
      <c r="K135" s="34" t="s">
        <v>1643</v>
      </c>
      <c r="L135" s="34" t="s">
        <v>1643</v>
      </c>
      <c r="M135" s="34"/>
      <c r="N135" s="34"/>
      <c r="O135" s="34"/>
      <c r="P135" s="102"/>
      <c r="Q135" s="34"/>
      <c r="R135" s="102"/>
    </row>
    <row r="136" spans="1:18" ht="16.5" x14ac:dyDescent="0.35">
      <c r="A136" s="34" t="s">
        <v>1989</v>
      </c>
      <c r="B136" s="34" t="s">
        <v>1994</v>
      </c>
      <c r="C136" s="20" t="s">
        <v>197</v>
      </c>
      <c r="D136" s="34">
        <v>5</v>
      </c>
      <c r="E136" s="34">
        <v>115</v>
      </c>
      <c r="F136" s="254">
        <v>20.6</v>
      </c>
      <c r="G136" s="174" t="s">
        <v>2002</v>
      </c>
      <c r="H136" s="34" t="s">
        <v>1992</v>
      </c>
      <c r="I136" s="34" t="s">
        <v>1992</v>
      </c>
      <c r="J136" s="20" t="s">
        <v>1992</v>
      </c>
      <c r="K136" s="34" t="s">
        <v>1992</v>
      </c>
      <c r="L136" s="34" t="s">
        <v>1992</v>
      </c>
      <c r="M136" s="34"/>
      <c r="N136" s="34"/>
      <c r="O136" s="34"/>
      <c r="P136" s="102"/>
      <c r="Q136" s="34"/>
      <c r="R136" s="102"/>
    </row>
    <row r="137" spans="1:18" ht="16.5" x14ac:dyDescent="0.35">
      <c r="A137" s="34" t="s">
        <v>1986</v>
      </c>
      <c r="B137" s="34" t="s">
        <v>1986</v>
      </c>
      <c r="C137" s="20" t="s">
        <v>198</v>
      </c>
      <c r="D137" s="34">
        <v>3</v>
      </c>
      <c r="E137" s="34">
        <v>115</v>
      </c>
      <c r="F137" s="254">
        <v>2.76</v>
      </c>
      <c r="G137" s="174" t="s">
        <v>591</v>
      </c>
      <c r="H137" s="34" t="s">
        <v>1643</v>
      </c>
      <c r="I137" s="34">
        <v>93</v>
      </c>
      <c r="J137" s="104" t="str">
        <f>HYPERLINK("https://www.examplebusiness.com/","https://www.examplebusiness.com/")</f>
        <v>https://www.examplebusiness.com/</v>
      </c>
      <c r="K137" s="34" t="s">
        <v>1643</v>
      </c>
      <c r="L137" s="34" t="s">
        <v>1643</v>
      </c>
      <c r="M137" s="34"/>
      <c r="N137" s="34"/>
      <c r="O137" s="34"/>
      <c r="P137" s="102"/>
      <c r="Q137" s="34"/>
      <c r="R137" s="102"/>
    </row>
    <row r="138" spans="1:18" ht="16.5" x14ac:dyDescent="0.35">
      <c r="A138" s="34" t="s">
        <v>1989</v>
      </c>
      <c r="B138" s="34" t="s">
        <v>2001</v>
      </c>
      <c r="C138" s="20" t="s">
        <v>199</v>
      </c>
      <c r="D138" s="34">
        <v>0</v>
      </c>
      <c r="E138" s="34">
        <v>110</v>
      </c>
      <c r="F138" s="254">
        <v>0</v>
      </c>
      <c r="G138" s="174" t="s">
        <v>2014</v>
      </c>
      <c r="H138" s="34" t="s">
        <v>1992</v>
      </c>
      <c r="I138" s="34" t="s">
        <v>1992</v>
      </c>
      <c r="J138" s="20" t="s">
        <v>1992</v>
      </c>
      <c r="K138" s="34" t="s">
        <v>1992</v>
      </c>
      <c r="L138" s="34" t="s">
        <v>1992</v>
      </c>
      <c r="M138" s="34"/>
      <c r="N138" s="34"/>
      <c r="O138" s="34"/>
      <c r="P138" s="102"/>
      <c r="Q138" s="34"/>
      <c r="R138" s="102"/>
    </row>
    <row r="139" spans="1:18" ht="16.5" x14ac:dyDescent="0.35">
      <c r="A139" s="34" t="s">
        <v>1989</v>
      </c>
      <c r="B139" s="34" t="s">
        <v>1994</v>
      </c>
      <c r="C139" s="20" t="s">
        <v>200</v>
      </c>
      <c r="D139" s="34">
        <v>1</v>
      </c>
      <c r="E139" s="34">
        <v>110</v>
      </c>
      <c r="F139" s="254">
        <v>12.215</v>
      </c>
      <c r="G139" s="174"/>
      <c r="H139" s="34" t="s">
        <v>1992</v>
      </c>
      <c r="I139" s="34" t="s">
        <v>1992</v>
      </c>
      <c r="J139" s="20" t="s">
        <v>1992</v>
      </c>
      <c r="K139" s="34" t="s">
        <v>1992</v>
      </c>
      <c r="L139" s="34" t="s">
        <v>1992</v>
      </c>
      <c r="M139" s="34"/>
      <c r="N139" s="34"/>
      <c r="O139" s="34"/>
      <c r="P139" s="102"/>
      <c r="Q139" s="34"/>
      <c r="R139" s="102"/>
    </row>
    <row r="140" spans="1:18" ht="16.5" x14ac:dyDescent="0.35">
      <c r="A140" s="34" t="s">
        <v>1986</v>
      </c>
      <c r="B140" s="34" t="s">
        <v>1986</v>
      </c>
      <c r="C140" s="20" t="s">
        <v>2556</v>
      </c>
      <c r="D140" s="34">
        <v>2</v>
      </c>
      <c r="E140" s="34">
        <v>110</v>
      </c>
      <c r="F140" s="254">
        <v>0</v>
      </c>
      <c r="G140" s="174" t="s">
        <v>572</v>
      </c>
      <c r="H140" s="34" t="s">
        <v>1643</v>
      </c>
      <c r="I140" s="34">
        <v>52</v>
      </c>
      <c r="J140" s="104" t="str">
        <f>HYPERLINK("https://www.examplebusiness.com/team/nick-andresen-1","https://www.examplebusiness.com/team/nick-andresen-1")</f>
        <v>https://www.examplebusiness.com/team/nick-andresen-1</v>
      </c>
      <c r="K140" s="34" t="s">
        <v>1643</v>
      </c>
      <c r="L140" s="34" t="s">
        <v>1643</v>
      </c>
      <c r="M140" s="34"/>
      <c r="N140" s="34"/>
      <c r="O140" s="34"/>
      <c r="P140" s="102"/>
      <c r="Q140" s="34"/>
      <c r="R140" s="102"/>
    </row>
    <row r="141" spans="1:18" ht="16.5" x14ac:dyDescent="0.35">
      <c r="A141" s="34" t="s">
        <v>1989</v>
      </c>
      <c r="B141" s="34" t="s">
        <v>1994</v>
      </c>
      <c r="C141" s="20" t="s">
        <v>202</v>
      </c>
      <c r="D141" s="34">
        <v>5</v>
      </c>
      <c r="E141" s="34">
        <v>105</v>
      </c>
      <c r="F141" s="254">
        <v>0</v>
      </c>
      <c r="G141" s="174" t="s">
        <v>2008</v>
      </c>
      <c r="H141" s="34" t="s">
        <v>1992</v>
      </c>
      <c r="I141" s="34" t="s">
        <v>1992</v>
      </c>
      <c r="J141" s="20" t="s">
        <v>1992</v>
      </c>
      <c r="K141" s="34" t="s">
        <v>1992</v>
      </c>
      <c r="L141" s="34" t="s">
        <v>1992</v>
      </c>
      <c r="M141" s="34"/>
      <c r="N141" s="34"/>
      <c r="O141" s="34"/>
      <c r="P141" s="102"/>
      <c r="Q141" s="34"/>
      <c r="R141" s="102"/>
    </row>
    <row r="142" spans="1:18" ht="16.5" x14ac:dyDescent="0.35">
      <c r="A142" s="34" t="s">
        <v>1986</v>
      </c>
      <c r="B142" s="34" t="s">
        <v>1986</v>
      </c>
      <c r="C142" s="20" t="s">
        <v>203</v>
      </c>
      <c r="D142" s="34">
        <v>24</v>
      </c>
      <c r="E142" s="34">
        <v>105</v>
      </c>
      <c r="F142" s="254">
        <v>0</v>
      </c>
      <c r="G142" s="174" t="s">
        <v>579</v>
      </c>
      <c r="H142" s="34" t="s">
        <v>1643</v>
      </c>
      <c r="I142" s="34">
        <v>23</v>
      </c>
      <c r="J142" s="104" t="str">
        <f>HYPERLINK("https://www.examplebusiness.com/tools/tax-resources/tax-calendar","https://www.examplebusiness.com/tools/tax-resources/tax-calendar")</f>
        <v>https://www.examplebusiness.com/tools/tax-resources/tax-calendar</v>
      </c>
      <c r="K142" s="34" t="s">
        <v>1643</v>
      </c>
      <c r="L142" s="34" t="s">
        <v>1643</v>
      </c>
      <c r="M142" s="34"/>
      <c r="N142" s="34"/>
      <c r="O142" s="34"/>
      <c r="P142" s="102"/>
      <c r="Q142" s="34"/>
      <c r="R142" s="102"/>
    </row>
    <row r="143" spans="1:18" ht="16.5" x14ac:dyDescent="0.35">
      <c r="A143" s="34" t="s">
        <v>1993</v>
      </c>
      <c r="B143" s="34" t="s">
        <v>1994</v>
      </c>
      <c r="C143" s="20" t="s">
        <v>204</v>
      </c>
      <c r="D143" s="34">
        <v>3</v>
      </c>
      <c r="E143" s="34">
        <v>105</v>
      </c>
      <c r="F143" s="254">
        <v>11.09</v>
      </c>
      <c r="G143" s="174" t="s">
        <v>590</v>
      </c>
      <c r="H143" s="34" t="s">
        <v>1643</v>
      </c>
      <c r="I143" s="34">
        <v>26</v>
      </c>
      <c r="J143" s="104" t="str">
        <f>HYPERLINK("https://www.examplebusiness.com/","https://www.examplebusiness.com/")</f>
        <v>https://www.examplebusiness.com/</v>
      </c>
      <c r="K143" s="34" t="s">
        <v>1643</v>
      </c>
      <c r="L143" s="34" t="s">
        <v>1643</v>
      </c>
      <c r="M143" s="34"/>
      <c r="N143" s="34"/>
      <c r="O143" s="34"/>
      <c r="P143" s="102"/>
      <c r="Q143" s="34"/>
      <c r="R143" s="102"/>
    </row>
    <row r="144" spans="1:18" ht="16.5" x14ac:dyDescent="0.35">
      <c r="A144" s="34" t="s">
        <v>1986</v>
      </c>
      <c r="B144" s="34" t="s">
        <v>1986</v>
      </c>
      <c r="C144" s="20" t="s">
        <v>205</v>
      </c>
      <c r="D144" s="34">
        <v>2</v>
      </c>
      <c r="E144" s="34">
        <v>105</v>
      </c>
      <c r="F144" s="254">
        <v>0</v>
      </c>
      <c r="G144" s="174" t="s">
        <v>570</v>
      </c>
      <c r="H144" s="34" t="s">
        <v>1643</v>
      </c>
      <c r="I144" s="34">
        <v>24</v>
      </c>
      <c r="J144" s="104" t="str">
        <f>HYPERLINK("https://www.examplebusiness.com/team/andrea-vieyra","https://www.examplebusiness.com/team/andrea-vieyra")</f>
        <v>https://www.examplebusiness.com/team/andrea-vieyra</v>
      </c>
      <c r="K144" s="34" t="s">
        <v>1643</v>
      </c>
      <c r="L144" s="34" t="s">
        <v>1643</v>
      </c>
      <c r="M144" s="34"/>
      <c r="N144" s="34"/>
      <c r="O144" s="34"/>
      <c r="P144" s="102"/>
      <c r="Q144" s="34"/>
      <c r="R144" s="102"/>
    </row>
    <row r="145" spans="1:18" ht="16.5" x14ac:dyDescent="0.35">
      <c r="A145" s="34" t="s">
        <v>1986</v>
      </c>
      <c r="B145" s="34" t="s">
        <v>1986</v>
      </c>
      <c r="C145" s="20" t="s">
        <v>206</v>
      </c>
      <c r="D145" s="34">
        <v>26</v>
      </c>
      <c r="E145" s="34">
        <v>105</v>
      </c>
      <c r="F145" s="254">
        <v>0</v>
      </c>
      <c r="G145" s="174" t="s">
        <v>599</v>
      </c>
      <c r="H145" s="34" t="s">
        <v>1643</v>
      </c>
      <c r="I145" s="34">
        <v>39</v>
      </c>
      <c r="J145" s="104" t="str">
        <f>HYPERLINK("https://www.examplebusiness.com/tools/tax-resources/tax-calendar","https://www.examplebusiness.com/tools/tax-resources/tax-calendar")</f>
        <v>https://www.examplebusiness.com/tools/tax-resources/tax-calendar</v>
      </c>
      <c r="K145" s="34" t="s">
        <v>1643</v>
      </c>
      <c r="L145" s="34" t="s">
        <v>1643</v>
      </c>
      <c r="M145" s="34"/>
      <c r="N145" s="34"/>
      <c r="O145" s="34"/>
      <c r="P145" s="102"/>
      <c r="Q145" s="34"/>
      <c r="R145" s="102"/>
    </row>
    <row r="146" spans="1:18" ht="16.5" x14ac:dyDescent="0.35">
      <c r="A146" s="34" t="s">
        <v>1986</v>
      </c>
      <c r="B146" s="34" t="s">
        <v>1986</v>
      </c>
      <c r="C146" s="20" t="s">
        <v>207</v>
      </c>
      <c r="D146" s="34">
        <v>54</v>
      </c>
      <c r="E146" s="34">
        <v>105</v>
      </c>
      <c r="F146" s="254">
        <v>2.5299999999999998</v>
      </c>
      <c r="G146" s="174" t="s">
        <v>641</v>
      </c>
      <c r="H146" s="34" t="s">
        <v>1643</v>
      </c>
      <c r="I146" s="34">
        <v>71</v>
      </c>
      <c r="J146" s="104" t="str">
        <f>HYPERLINK("https://www.examplebusiness.com/blog/is-a-depression-coming","https://www.examplebusiness.com/blog/is-a-depression-coming")</f>
        <v>https://www.examplebusiness.com/blog/is-a-depression-coming</v>
      </c>
      <c r="K146" s="34" t="s">
        <v>1643</v>
      </c>
      <c r="L146" s="34" t="s">
        <v>1643</v>
      </c>
      <c r="M146" s="34"/>
      <c r="N146" s="34"/>
      <c r="O146" s="34"/>
      <c r="P146" s="102"/>
      <c r="Q146" s="34"/>
      <c r="R146" s="102"/>
    </row>
    <row r="147" spans="1:18" ht="16.5" x14ac:dyDescent="0.35">
      <c r="A147" s="34" t="s">
        <v>1989</v>
      </c>
      <c r="B147" s="34" t="s">
        <v>2001</v>
      </c>
      <c r="C147" s="20" t="s">
        <v>208</v>
      </c>
      <c r="D147" s="34">
        <v>4</v>
      </c>
      <c r="E147" s="34">
        <v>100</v>
      </c>
      <c r="F147" s="254">
        <v>6.64</v>
      </c>
      <c r="G147" s="174" t="s">
        <v>2015</v>
      </c>
      <c r="H147" s="34" t="s">
        <v>1992</v>
      </c>
      <c r="I147" s="34" t="s">
        <v>1992</v>
      </c>
      <c r="J147" s="20" t="s">
        <v>1992</v>
      </c>
      <c r="K147" s="34" t="s">
        <v>1992</v>
      </c>
      <c r="L147" s="34" t="s">
        <v>1992</v>
      </c>
      <c r="M147" s="34"/>
      <c r="N147" s="34"/>
      <c r="O147" s="34"/>
      <c r="P147" s="102"/>
      <c r="Q147" s="34"/>
      <c r="R147" s="102"/>
    </row>
    <row r="148" spans="1:18" ht="16.5" x14ac:dyDescent="0.35">
      <c r="A148" s="34" t="s">
        <v>1986</v>
      </c>
      <c r="B148" s="34" t="s">
        <v>1986</v>
      </c>
      <c r="C148" s="20" t="s">
        <v>209</v>
      </c>
      <c r="D148" s="34">
        <v>0</v>
      </c>
      <c r="E148" s="34">
        <v>100</v>
      </c>
      <c r="F148" s="254">
        <v>0</v>
      </c>
      <c r="G148" s="174" t="s">
        <v>583</v>
      </c>
      <c r="H148" s="34" t="s">
        <v>1643</v>
      </c>
      <c r="I148" s="34">
        <v>20</v>
      </c>
      <c r="J148" s="104" t="str">
        <f>HYPERLINK("https://www.examplebusiness.com/team/robert-withers-1","https://www.examplebusiness.com/team/robert-withers-1")</f>
        <v>https://www.examplebusiness.com/team/robert-withers-1</v>
      </c>
      <c r="K148" s="34" t="s">
        <v>1643</v>
      </c>
      <c r="L148" s="34" t="s">
        <v>1643</v>
      </c>
      <c r="M148" s="34"/>
      <c r="N148" s="34"/>
      <c r="O148" s="34"/>
      <c r="P148" s="102"/>
      <c r="Q148" s="34"/>
      <c r="R148" s="102"/>
    </row>
    <row r="149" spans="1:18" ht="16.5" x14ac:dyDescent="0.35">
      <c r="A149" s="34" t="s">
        <v>1986</v>
      </c>
      <c r="B149" s="34" t="s">
        <v>1986</v>
      </c>
      <c r="C149" s="20" t="s">
        <v>210</v>
      </c>
      <c r="D149" s="34">
        <v>9</v>
      </c>
      <c r="E149" s="34">
        <v>100</v>
      </c>
      <c r="F149" s="254">
        <v>3.1</v>
      </c>
      <c r="G149" s="174" t="s">
        <v>568</v>
      </c>
      <c r="H149" s="34" t="s">
        <v>1643</v>
      </c>
      <c r="I149" s="34">
        <v>47</v>
      </c>
      <c r="J149" s="104" t="str">
        <f>HYPERLINK("https://www.examplebusiness.com/team/john-vanderpoel","https://www.examplebusiness.com/team/john-vanderpoel")</f>
        <v>https://www.examplebusiness.com/team/john-vanderpoel</v>
      </c>
      <c r="K149" s="34" t="s">
        <v>1643</v>
      </c>
      <c r="L149" s="34" t="s">
        <v>1643</v>
      </c>
      <c r="M149" s="34"/>
      <c r="N149" s="34"/>
      <c r="O149" s="34"/>
      <c r="P149" s="102"/>
      <c r="Q149" s="34"/>
      <c r="R149" s="102"/>
    </row>
    <row r="150" spans="1:18" ht="16.5" x14ac:dyDescent="0.35">
      <c r="A150" s="34" t="s">
        <v>1986</v>
      </c>
      <c r="B150" s="34" t="s">
        <v>1986</v>
      </c>
      <c r="C150" s="20" t="s">
        <v>211</v>
      </c>
      <c r="D150" s="34">
        <v>5</v>
      </c>
      <c r="E150" s="34">
        <v>100</v>
      </c>
      <c r="F150" s="254">
        <v>6.11</v>
      </c>
      <c r="G150" s="174" t="s">
        <v>591</v>
      </c>
      <c r="H150" s="34" t="s">
        <v>1643</v>
      </c>
      <c r="I150" s="34">
        <v>51</v>
      </c>
      <c r="J150" s="104" t="str">
        <f>HYPERLINK("https://www.examplebusiness.com/blog/abc-Example-acquires-true-north-capital-alliance","https://www.examplebusiness.com/blog/abc-Example-acquires-true-north-capital-alliance")</f>
        <v>https://www.examplebusiness.com/blog/abc-Example-acquires-true-north-capital-alliance</v>
      </c>
      <c r="K150" s="34" t="s">
        <v>1643</v>
      </c>
      <c r="L150" s="34" t="s">
        <v>1643</v>
      </c>
      <c r="M150" s="34"/>
      <c r="N150" s="34"/>
      <c r="O150" s="34"/>
      <c r="P150" s="102"/>
      <c r="Q150" s="34"/>
      <c r="R150" s="102"/>
    </row>
    <row r="151" spans="1:18" ht="16.5" x14ac:dyDescent="0.35">
      <c r="A151" s="34" t="s">
        <v>1993</v>
      </c>
      <c r="B151" s="34" t="s">
        <v>1987</v>
      </c>
      <c r="C151" s="20" t="s">
        <v>212</v>
      </c>
      <c r="D151" s="34">
        <v>37</v>
      </c>
      <c r="E151" s="34">
        <v>100</v>
      </c>
      <c r="F151" s="254" t="s">
        <v>70</v>
      </c>
      <c r="G151" s="174" t="s">
        <v>626</v>
      </c>
      <c r="H151" s="34" t="s">
        <v>1643</v>
      </c>
      <c r="I151" s="34">
        <v>66</v>
      </c>
      <c r="J151" s="104" t="str">
        <f>HYPERLINK("https://www.examplebusiness.com/blog/evaluating-investment-risk","https://www.examplebusiness.com/blog/evaluating-investment-risk")</f>
        <v>https://www.examplebusiness.com/blog/evaluating-investment-risk</v>
      </c>
      <c r="K151" s="34" t="s">
        <v>1643</v>
      </c>
      <c r="L151" s="34" t="s">
        <v>1643</v>
      </c>
      <c r="M151" s="34"/>
      <c r="N151" s="34"/>
      <c r="O151" s="34"/>
      <c r="P151" s="102"/>
      <c r="Q151" s="34"/>
      <c r="R151" s="102"/>
    </row>
    <row r="152" spans="1:18" ht="16.5" x14ac:dyDescent="0.35">
      <c r="A152" s="34" t="s">
        <v>1986</v>
      </c>
      <c r="B152" s="34" t="s">
        <v>1986</v>
      </c>
      <c r="C152" s="20" t="s">
        <v>213</v>
      </c>
      <c r="D152" s="34">
        <v>36</v>
      </c>
      <c r="E152" s="34">
        <v>100</v>
      </c>
      <c r="F152" s="254">
        <v>8.5399999999999991</v>
      </c>
      <c r="G152" s="174" t="s">
        <v>608</v>
      </c>
      <c r="H152" s="34" t="s">
        <v>1643</v>
      </c>
      <c r="I152" s="34">
        <v>90</v>
      </c>
      <c r="J152" s="104" t="str">
        <f>HYPERLINK("https://www.examplebusiness.com/blog/socially-responsible-investing","https://www.examplebusiness.com/blog/socially-responsible-investing")</f>
        <v>https://www.examplebusiness.com/blog/socially-responsible-investing</v>
      </c>
      <c r="K152" s="34" t="s">
        <v>1643</v>
      </c>
      <c r="L152" s="34" t="s">
        <v>1643</v>
      </c>
      <c r="M152" s="34"/>
      <c r="N152" s="34"/>
      <c r="O152" s="34"/>
      <c r="P152" s="102"/>
      <c r="Q152" s="34"/>
      <c r="R152" s="102"/>
    </row>
    <row r="153" spans="1:18" ht="16.5" x14ac:dyDescent="0.35">
      <c r="A153" s="34" t="s">
        <v>1993</v>
      </c>
      <c r="B153" s="34" t="s">
        <v>1986</v>
      </c>
      <c r="C153" s="20" t="s">
        <v>214</v>
      </c>
      <c r="D153" s="34">
        <v>30</v>
      </c>
      <c r="E153" s="34">
        <v>100</v>
      </c>
      <c r="F153" s="254">
        <v>4.18</v>
      </c>
      <c r="G153" s="174" t="s">
        <v>640</v>
      </c>
      <c r="H153" s="34" t="s">
        <v>1643</v>
      </c>
      <c r="I153" s="34">
        <v>88</v>
      </c>
      <c r="J153" s="104" t="str">
        <f>HYPERLINK("http://www.examplebusiness.com/resource-center/money/spotting-credit-trouble","http://www.examplebusiness.com/resource-center/money/spotting-credit-trouble")</f>
        <v>http://www.examplebusiness.com/resource-center/money/spotting-credit-trouble</v>
      </c>
      <c r="K153" s="34" t="s">
        <v>1643</v>
      </c>
      <c r="L153" s="34" t="s">
        <v>1643</v>
      </c>
      <c r="M153" s="34"/>
      <c r="N153" s="34"/>
      <c r="O153" s="34"/>
      <c r="P153" s="102"/>
      <c r="Q153" s="34"/>
      <c r="R153" s="102"/>
    </row>
    <row r="154" spans="1:18" ht="16.5" x14ac:dyDescent="0.35">
      <c r="A154" s="34" t="s">
        <v>1993</v>
      </c>
      <c r="B154" s="34" t="s">
        <v>1986</v>
      </c>
      <c r="C154" s="20" t="s">
        <v>215</v>
      </c>
      <c r="D154" s="34">
        <v>0</v>
      </c>
      <c r="E154" s="34">
        <v>100</v>
      </c>
      <c r="F154" s="254" t="s">
        <v>70</v>
      </c>
      <c r="G154" s="174" t="s">
        <v>656</v>
      </c>
      <c r="H154" s="34" t="s">
        <v>1643</v>
      </c>
      <c r="I154" s="34">
        <v>90</v>
      </c>
      <c r="J154" s="104" t="str">
        <f>HYPERLINK("https://www.examplebusiness.com/blog/teaching-money-mindfulness-to-your-children","https://www.examplebusiness.com/blog/teaching-money-mindfulness-to-your-children")</f>
        <v>https://www.examplebusiness.com/blog/teaching-money-mindfulness-to-your-children</v>
      </c>
      <c r="K154" s="34" t="s">
        <v>1643</v>
      </c>
      <c r="L154" s="34" t="s">
        <v>1643</v>
      </c>
      <c r="M154" s="34"/>
      <c r="N154" s="34"/>
      <c r="O154" s="34"/>
      <c r="P154" s="102"/>
      <c r="Q154" s="34"/>
      <c r="R154" s="102"/>
    </row>
    <row r="155" spans="1:18" ht="16.5" x14ac:dyDescent="0.35">
      <c r="A155" s="34" t="s">
        <v>1988</v>
      </c>
      <c r="B155" s="34" t="s">
        <v>1986</v>
      </c>
      <c r="C155" s="20" t="s">
        <v>216</v>
      </c>
      <c r="D155" s="34">
        <v>54</v>
      </c>
      <c r="E155" s="34">
        <v>100</v>
      </c>
      <c r="F155" s="254" t="s">
        <v>70</v>
      </c>
      <c r="G155" s="174" t="s">
        <v>627</v>
      </c>
      <c r="H155" s="34" t="s">
        <v>1643</v>
      </c>
      <c r="I155" s="34">
        <v>94</v>
      </c>
      <c r="J155" s="104" t="str">
        <f>HYPERLINK("https://www.examplebusiness.com/resource-center/money/life-and-death-of-a-20-dollar-bill","https://www.examplebusiness.com/resource-center/money/life-and-death-of-a-20-dollar-bill")</f>
        <v>https://www.examplebusiness.com/resource-center/money/life-and-death-of-a-20-dollar-bill</v>
      </c>
      <c r="K155" s="34" t="s">
        <v>1643</v>
      </c>
      <c r="L155" s="34" t="s">
        <v>1643</v>
      </c>
      <c r="M155" s="34"/>
      <c r="N155" s="34"/>
      <c r="O155" s="34"/>
      <c r="P155" s="102"/>
      <c r="Q155" s="34"/>
      <c r="R155" s="102"/>
    </row>
    <row r="156" spans="1:18" ht="16.5" x14ac:dyDescent="0.35">
      <c r="A156" s="34" t="s">
        <v>1989</v>
      </c>
      <c r="B156" s="34" t="s">
        <v>1994</v>
      </c>
      <c r="C156" s="20" t="s">
        <v>217</v>
      </c>
      <c r="D156" s="34">
        <v>43</v>
      </c>
      <c r="E156" s="34">
        <v>95</v>
      </c>
      <c r="F156" s="254">
        <v>13.68</v>
      </c>
      <c r="G156" s="174" t="s">
        <v>2016</v>
      </c>
      <c r="H156" s="34" t="s">
        <v>1992</v>
      </c>
      <c r="I156" s="34" t="s">
        <v>1992</v>
      </c>
      <c r="J156" s="20" t="s">
        <v>1992</v>
      </c>
      <c r="K156" s="34" t="s">
        <v>1992</v>
      </c>
      <c r="L156" s="34" t="s">
        <v>1992</v>
      </c>
      <c r="M156" s="34"/>
      <c r="N156" s="34"/>
      <c r="O156" s="34"/>
      <c r="P156" s="102"/>
      <c r="Q156" s="34"/>
      <c r="R156" s="102"/>
    </row>
    <row r="157" spans="1:18" ht="16.5" x14ac:dyDescent="0.35">
      <c r="A157" s="34" t="s">
        <v>1989</v>
      </c>
      <c r="B157" s="34" t="s">
        <v>1994</v>
      </c>
      <c r="C157" s="20" t="s">
        <v>218</v>
      </c>
      <c r="D157" s="34">
        <v>9</v>
      </c>
      <c r="E157" s="34">
        <v>95</v>
      </c>
      <c r="F157" s="254">
        <v>7.1150000000000002</v>
      </c>
      <c r="G157" s="174" t="s">
        <v>2002</v>
      </c>
      <c r="H157" s="34" t="s">
        <v>1992</v>
      </c>
      <c r="I157" s="34" t="s">
        <v>1992</v>
      </c>
      <c r="J157" s="20" t="s">
        <v>1992</v>
      </c>
      <c r="K157" s="34" t="s">
        <v>1992</v>
      </c>
      <c r="L157" s="34" t="s">
        <v>1992</v>
      </c>
      <c r="M157" s="34"/>
      <c r="N157" s="34"/>
      <c r="O157" s="34"/>
      <c r="P157" s="102"/>
      <c r="Q157" s="34"/>
      <c r="R157" s="102"/>
    </row>
    <row r="158" spans="1:18" ht="16.5" x14ac:dyDescent="0.35">
      <c r="A158" s="34" t="s">
        <v>1993</v>
      </c>
      <c r="B158" s="34" t="s">
        <v>1986</v>
      </c>
      <c r="C158" s="20" t="s">
        <v>219</v>
      </c>
      <c r="D158" s="34">
        <v>55</v>
      </c>
      <c r="E158" s="34">
        <v>95</v>
      </c>
      <c r="F158" s="254">
        <v>18.564999999999998</v>
      </c>
      <c r="G158" s="174" t="s">
        <v>2009</v>
      </c>
      <c r="H158" s="34" t="s">
        <v>1992</v>
      </c>
      <c r="I158" s="34" t="s">
        <v>1992</v>
      </c>
      <c r="J158" s="20" t="s">
        <v>1992</v>
      </c>
      <c r="K158" s="34" t="s">
        <v>1992</v>
      </c>
      <c r="L158" s="34" t="s">
        <v>1992</v>
      </c>
      <c r="M158" s="34"/>
      <c r="N158" s="34"/>
      <c r="O158" s="34"/>
      <c r="P158" s="102"/>
      <c r="Q158" s="34"/>
      <c r="R158" s="102"/>
    </row>
    <row r="159" spans="1:18" ht="16.5" x14ac:dyDescent="0.35">
      <c r="A159" s="34" t="s">
        <v>1993</v>
      </c>
      <c r="B159" s="34" t="s">
        <v>1987</v>
      </c>
      <c r="C159" s="20" t="s">
        <v>220</v>
      </c>
      <c r="D159" s="34">
        <v>21</v>
      </c>
      <c r="E159" s="34">
        <v>95</v>
      </c>
      <c r="F159" s="254">
        <v>11.43</v>
      </c>
      <c r="G159" s="174" t="s">
        <v>568</v>
      </c>
      <c r="H159" s="34" t="s">
        <v>1643</v>
      </c>
      <c r="I159" s="34">
        <v>8</v>
      </c>
      <c r="J159" s="104" t="str">
        <f>HYPERLINK("https://www.examplebusiness.com/resource-center/investment","https://www.examplebusiness.com/resource-center/investment")</f>
        <v>https://www.examplebusiness.com/resource-center/investment</v>
      </c>
      <c r="K159" s="34" t="s">
        <v>1643</v>
      </c>
      <c r="L159" s="34" t="s">
        <v>1643</v>
      </c>
      <c r="M159" s="34"/>
      <c r="N159" s="34"/>
      <c r="O159" s="34"/>
      <c r="P159" s="102"/>
      <c r="Q159" s="34"/>
      <c r="R159" s="102"/>
    </row>
    <row r="160" spans="1:18" ht="16.5" x14ac:dyDescent="0.35">
      <c r="A160" s="34" t="s">
        <v>1986</v>
      </c>
      <c r="B160" s="34" t="s">
        <v>1986</v>
      </c>
      <c r="C160" s="20" t="s">
        <v>221</v>
      </c>
      <c r="D160" s="34">
        <v>2</v>
      </c>
      <c r="E160" s="34">
        <v>95</v>
      </c>
      <c r="F160" s="254">
        <v>0</v>
      </c>
      <c r="G160" s="174" t="s">
        <v>581</v>
      </c>
      <c r="H160" s="34" t="s">
        <v>1643</v>
      </c>
      <c r="I160" s="34">
        <v>18</v>
      </c>
      <c r="J160" s="104" t="str">
        <f>HYPERLINK("https://www.examplebusiness.com/team/john-vanderpoel","https://www.examplebusiness.com/team/john-vanderpoel")</f>
        <v>https://www.examplebusiness.com/team/john-vanderpoel</v>
      </c>
      <c r="K160" s="34" t="s">
        <v>1643</v>
      </c>
      <c r="L160" s="34" t="s">
        <v>1643</v>
      </c>
      <c r="M160" s="34"/>
      <c r="N160" s="34"/>
      <c r="O160" s="34"/>
      <c r="P160" s="102"/>
      <c r="Q160" s="34"/>
      <c r="R160" s="102"/>
    </row>
    <row r="161" spans="1:18" ht="16.5" x14ac:dyDescent="0.35">
      <c r="A161" s="34" t="s">
        <v>1986</v>
      </c>
      <c r="B161" s="34" t="s">
        <v>1986</v>
      </c>
      <c r="C161" s="20" t="s">
        <v>222</v>
      </c>
      <c r="D161" s="34">
        <v>0</v>
      </c>
      <c r="E161" s="34">
        <v>95</v>
      </c>
      <c r="F161" s="254">
        <v>0</v>
      </c>
      <c r="G161" s="174" t="s">
        <v>584</v>
      </c>
      <c r="H161" s="34" t="s">
        <v>1643</v>
      </c>
      <c r="I161" s="34">
        <v>22</v>
      </c>
      <c r="J161" s="104" t="str">
        <f>HYPERLINK("https://www.examplebusiness.com/p/client-community","https://www.examplebusiness.com/p/client-community")</f>
        <v>https://www.examplebusiness.com/p/client-community</v>
      </c>
      <c r="K161" s="34" t="s">
        <v>1643</v>
      </c>
      <c r="L161" s="34" t="s">
        <v>1643</v>
      </c>
      <c r="M161" s="34"/>
      <c r="N161" s="34"/>
      <c r="O161" s="34"/>
      <c r="P161" s="102"/>
      <c r="Q161" s="34"/>
      <c r="R161" s="102"/>
    </row>
    <row r="162" spans="1:18" ht="16.5" x14ac:dyDescent="0.35">
      <c r="A162" s="34" t="s">
        <v>1986</v>
      </c>
      <c r="B162" s="34" t="s">
        <v>1986</v>
      </c>
      <c r="C162" s="20" t="s">
        <v>223</v>
      </c>
      <c r="D162" s="34">
        <v>0</v>
      </c>
      <c r="E162" s="34">
        <v>95</v>
      </c>
      <c r="F162" s="254">
        <v>3.71</v>
      </c>
      <c r="G162" s="174" t="s">
        <v>618</v>
      </c>
      <c r="H162" s="34" t="s">
        <v>1643</v>
      </c>
      <c r="I162" s="34">
        <v>58</v>
      </c>
      <c r="J162" s="104" t="str">
        <f>HYPERLINK("https://www.examplebusiness.com/team/robert-withers-1","https://www.examplebusiness.com/team/robert-withers-1")</f>
        <v>https://www.examplebusiness.com/team/robert-withers-1</v>
      </c>
      <c r="K162" s="34" t="s">
        <v>1643</v>
      </c>
      <c r="L162" s="34" t="s">
        <v>1643</v>
      </c>
      <c r="M162" s="34"/>
      <c r="N162" s="34"/>
      <c r="O162" s="34"/>
      <c r="P162" s="102"/>
      <c r="Q162" s="34"/>
      <c r="R162" s="102"/>
    </row>
    <row r="163" spans="1:18" ht="16.5" x14ac:dyDescent="0.35">
      <c r="A163" s="34" t="s">
        <v>1989</v>
      </c>
      <c r="B163" s="34" t="s">
        <v>1994</v>
      </c>
      <c r="C163" s="20" t="s">
        <v>2557</v>
      </c>
      <c r="D163" s="34"/>
      <c r="E163" s="34">
        <v>90</v>
      </c>
      <c r="F163" s="254">
        <v>12.16</v>
      </c>
      <c r="G163" s="174"/>
      <c r="H163" s="34" t="s">
        <v>1992</v>
      </c>
      <c r="I163" s="34" t="s">
        <v>1992</v>
      </c>
      <c r="J163" s="20" t="s">
        <v>1992</v>
      </c>
      <c r="K163" s="34" t="s">
        <v>1992</v>
      </c>
      <c r="L163" s="34" t="s">
        <v>1992</v>
      </c>
      <c r="M163" s="34"/>
      <c r="N163" s="34"/>
      <c r="O163" s="34"/>
      <c r="P163" s="102"/>
      <c r="Q163" s="34"/>
      <c r="R163" s="102"/>
    </row>
    <row r="164" spans="1:18" ht="16.5" x14ac:dyDescent="0.35">
      <c r="A164" s="34" t="s">
        <v>1989</v>
      </c>
      <c r="B164" s="34" t="s">
        <v>1987</v>
      </c>
      <c r="C164" s="20" t="s">
        <v>224</v>
      </c>
      <c r="D164" s="34"/>
      <c r="E164" s="34">
        <v>90</v>
      </c>
      <c r="F164" s="254">
        <v>0.15</v>
      </c>
      <c r="G164" s="174"/>
      <c r="H164" s="34" t="s">
        <v>1992</v>
      </c>
      <c r="I164" s="34" t="s">
        <v>1992</v>
      </c>
      <c r="J164" s="20" t="s">
        <v>1992</v>
      </c>
      <c r="K164" s="34" t="s">
        <v>1992</v>
      </c>
      <c r="L164" s="34" t="s">
        <v>1992</v>
      </c>
      <c r="M164" s="34"/>
      <c r="N164" s="34"/>
      <c r="O164" s="34"/>
      <c r="P164" s="102"/>
      <c r="Q164" s="34"/>
      <c r="R164" s="102"/>
    </row>
    <row r="165" spans="1:18" ht="16.5" x14ac:dyDescent="0.35">
      <c r="A165" s="34" t="s">
        <v>1993</v>
      </c>
      <c r="B165" s="34" t="s">
        <v>1987</v>
      </c>
      <c r="C165" s="20" t="s">
        <v>225</v>
      </c>
      <c r="D165" s="34">
        <v>6</v>
      </c>
      <c r="E165" s="34">
        <v>90</v>
      </c>
      <c r="F165" s="254">
        <v>5.4050000000000002</v>
      </c>
      <c r="G165" s="174" t="s">
        <v>2017</v>
      </c>
      <c r="H165" s="34" t="s">
        <v>1992</v>
      </c>
      <c r="I165" s="34" t="s">
        <v>1992</v>
      </c>
      <c r="J165" s="20" t="s">
        <v>1992</v>
      </c>
      <c r="K165" s="34" t="s">
        <v>1992</v>
      </c>
      <c r="L165" s="34" t="s">
        <v>1992</v>
      </c>
      <c r="M165" s="34"/>
      <c r="N165" s="34"/>
      <c r="O165" s="34"/>
      <c r="P165" s="102"/>
      <c r="Q165" s="34"/>
      <c r="R165" s="102"/>
    </row>
    <row r="166" spans="1:18" ht="16.5" x14ac:dyDescent="0.35">
      <c r="A166" s="34" t="s">
        <v>1986</v>
      </c>
      <c r="B166" s="34" t="s">
        <v>1986</v>
      </c>
      <c r="C166" s="20" t="s">
        <v>226</v>
      </c>
      <c r="D166" s="34">
        <v>0</v>
      </c>
      <c r="E166" s="34">
        <v>90</v>
      </c>
      <c r="F166" s="254" t="s">
        <v>70</v>
      </c>
      <c r="G166" s="174" t="s">
        <v>592</v>
      </c>
      <c r="H166" s="34" t="s">
        <v>1643</v>
      </c>
      <c r="I166" s="34">
        <v>40</v>
      </c>
      <c r="J166" s="104" t="str">
        <f>HYPERLINK("https://www.examplebusiness.com/blog/when-will-the-recession-officially-start","https://www.examplebusiness.com/blog/when-will-the-recession-officially-start")</f>
        <v>https://www.examplebusiness.com/blog/when-will-the-recession-officially-start</v>
      </c>
      <c r="K166" s="34" t="s">
        <v>1643</v>
      </c>
      <c r="L166" s="34" t="s">
        <v>1643</v>
      </c>
      <c r="M166" s="34"/>
      <c r="N166" s="34"/>
      <c r="O166" s="34"/>
      <c r="P166" s="102"/>
      <c r="Q166" s="34"/>
      <c r="R166" s="102"/>
    </row>
    <row r="167" spans="1:18" ht="16.5" x14ac:dyDescent="0.35">
      <c r="A167" s="34" t="s">
        <v>1993</v>
      </c>
      <c r="B167" s="34" t="s">
        <v>1987</v>
      </c>
      <c r="C167" s="20" t="s">
        <v>227</v>
      </c>
      <c r="D167" s="34">
        <v>10</v>
      </c>
      <c r="E167" s="34">
        <v>90</v>
      </c>
      <c r="F167" s="254">
        <v>0</v>
      </c>
      <c r="G167" s="174" t="s">
        <v>597</v>
      </c>
      <c r="H167" s="34" t="s">
        <v>1643</v>
      </c>
      <c r="I167" s="34">
        <v>97</v>
      </c>
      <c r="J167" s="104" t="str">
        <f>HYPERLINK("https://www.examplebusiness.com/blog/evaluating-investment-risk","https://www.examplebusiness.com/blog/evaluating-investment-risk")</f>
        <v>https://www.examplebusiness.com/blog/evaluating-investment-risk</v>
      </c>
      <c r="K167" s="34" t="s">
        <v>1643</v>
      </c>
      <c r="L167" s="34" t="s">
        <v>1643</v>
      </c>
      <c r="M167" s="34"/>
      <c r="N167" s="34"/>
      <c r="O167" s="34"/>
      <c r="P167" s="102"/>
      <c r="Q167" s="34"/>
      <c r="R167" s="102"/>
    </row>
    <row r="168" spans="1:18" ht="16.5" x14ac:dyDescent="0.35">
      <c r="A168" s="34" t="s">
        <v>1989</v>
      </c>
      <c r="B168" s="34" t="s">
        <v>1994</v>
      </c>
      <c r="C168" s="20" t="s">
        <v>228</v>
      </c>
      <c r="D168" s="34">
        <v>7</v>
      </c>
      <c r="E168" s="34">
        <v>85</v>
      </c>
      <c r="F168" s="254">
        <v>3.0249999999999999</v>
      </c>
      <c r="G168" s="174" t="s">
        <v>572</v>
      </c>
      <c r="H168" s="34" t="s">
        <v>1992</v>
      </c>
      <c r="I168" s="34" t="s">
        <v>1992</v>
      </c>
      <c r="J168" s="20" t="s">
        <v>1992</v>
      </c>
      <c r="K168" s="34" t="s">
        <v>1992</v>
      </c>
      <c r="L168" s="34" t="s">
        <v>1992</v>
      </c>
      <c r="M168" s="34"/>
      <c r="N168" s="34"/>
      <c r="O168" s="34"/>
      <c r="P168" s="102"/>
      <c r="Q168" s="34"/>
      <c r="R168" s="102"/>
    </row>
    <row r="169" spans="1:18" ht="16.5" x14ac:dyDescent="0.35">
      <c r="A169" s="34" t="s">
        <v>1986</v>
      </c>
      <c r="B169" s="34" t="s">
        <v>1986</v>
      </c>
      <c r="C169" s="20" t="s">
        <v>229</v>
      </c>
      <c r="D169" s="34">
        <v>4</v>
      </c>
      <c r="E169" s="34">
        <v>85</v>
      </c>
      <c r="F169" s="254">
        <v>9.77</v>
      </c>
      <c r="G169" s="174" t="s">
        <v>577</v>
      </c>
      <c r="H169" s="34" t="s">
        <v>1643</v>
      </c>
      <c r="I169" s="34">
        <v>13</v>
      </c>
      <c r="J169" s="104" t="str">
        <f>HYPERLINK("https://www.examplebusiness.com/resource-center/insurance/understanding-the-basics-of-medigap-policies","https://www.examplebusiness.com/resource-center/insurance/understanding-the-basics-of-medigap-policies")</f>
        <v>https://www.examplebusiness.com/resource-center/insurance/understanding-the-basics-of-medigap-policies</v>
      </c>
      <c r="K169" s="34" t="s">
        <v>1643</v>
      </c>
      <c r="L169" s="34" t="s">
        <v>1643</v>
      </c>
      <c r="M169" s="34"/>
      <c r="N169" s="34"/>
      <c r="O169" s="34"/>
      <c r="P169" s="102"/>
      <c r="Q169" s="34"/>
      <c r="R169" s="102"/>
    </row>
    <row r="170" spans="1:18" ht="16.5" x14ac:dyDescent="0.35">
      <c r="A170" s="34" t="s">
        <v>1986</v>
      </c>
      <c r="B170" s="34" t="s">
        <v>1986</v>
      </c>
      <c r="C170" s="20" t="s">
        <v>230</v>
      </c>
      <c r="D170" s="34">
        <v>0</v>
      </c>
      <c r="E170" s="34">
        <v>85</v>
      </c>
      <c r="F170" s="254">
        <v>0</v>
      </c>
      <c r="G170" s="174" t="s">
        <v>568</v>
      </c>
      <c r="H170" s="34" t="s">
        <v>1643</v>
      </c>
      <c r="I170" s="34">
        <v>52</v>
      </c>
      <c r="J170" s="104" t="str">
        <f>HYPERLINK("https://www.examplebusiness.com/resource-center/investment/a-decision-not-made-is-still-a-decision","https://www.examplebusiness.com/resource-center/investment/a-decision-not-made-is-still-a-decision")</f>
        <v>https://www.examplebusiness.com/resource-center/investment/a-decision-not-made-is-still-a-decision</v>
      </c>
      <c r="K170" s="34" t="s">
        <v>1643</v>
      </c>
      <c r="L170" s="34" t="s">
        <v>1643</v>
      </c>
      <c r="M170" s="34"/>
      <c r="N170" s="34"/>
      <c r="O170" s="34"/>
      <c r="P170" s="102"/>
      <c r="Q170" s="34"/>
      <c r="R170" s="102"/>
    </row>
    <row r="171" spans="1:18" ht="16.5" x14ac:dyDescent="0.35">
      <c r="A171" s="34" t="s">
        <v>1988</v>
      </c>
      <c r="B171" s="34" t="s">
        <v>1986</v>
      </c>
      <c r="C171" s="20" t="s">
        <v>231</v>
      </c>
      <c r="D171" s="34">
        <v>42</v>
      </c>
      <c r="E171" s="34">
        <v>85</v>
      </c>
      <c r="F171" s="254">
        <v>3.17</v>
      </c>
      <c r="G171" s="174" t="s">
        <v>619</v>
      </c>
      <c r="H171" s="34" t="s">
        <v>1643</v>
      </c>
      <c r="I171" s="34">
        <v>56</v>
      </c>
      <c r="J171" s="104" t="str">
        <f>HYPERLINK("https://www.examplebusiness.com/resource-center/tax/understanding-marginal-income-tax-brackets","https://www.examplebusiness.com/resource-center/tax/understanding-marginal-income-tax-brackets")</f>
        <v>https://www.examplebusiness.com/resource-center/tax/understanding-marginal-income-tax-brackets</v>
      </c>
      <c r="K171" s="34" t="s">
        <v>1643</v>
      </c>
      <c r="L171" s="34" t="s">
        <v>1643</v>
      </c>
      <c r="M171" s="34"/>
      <c r="N171" s="34"/>
      <c r="O171" s="34"/>
      <c r="P171" s="102"/>
      <c r="Q171" s="34"/>
      <c r="R171" s="102"/>
    </row>
    <row r="172" spans="1:18" ht="16.5" x14ac:dyDescent="0.35">
      <c r="A172" s="34" t="s">
        <v>1988</v>
      </c>
      <c r="B172" s="34" t="s">
        <v>1986</v>
      </c>
      <c r="C172" s="20" t="s">
        <v>232</v>
      </c>
      <c r="D172" s="34">
        <v>25</v>
      </c>
      <c r="E172" s="34">
        <v>85</v>
      </c>
      <c r="F172" s="254">
        <v>0</v>
      </c>
      <c r="G172" s="174" t="s">
        <v>597</v>
      </c>
      <c r="H172" s="34" t="s">
        <v>1643</v>
      </c>
      <c r="I172" s="34">
        <v>66</v>
      </c>
      <c r="J172" s="104" t="str">
        <f>HYPERLINK("https://www.examplebusiness.com/resource-center/money/pay-yourself-first","https://www.examplebusiness.com/resource-center/money/pay-yourself-first")</f>
        <v>https://www.examplebusiness.com/resource-center/money/pay-yourself-first</v>
      </c>
      <c r="K172" s="34" t="s">
        <v>1643</v>
      </c>
      <c r="L172" s="34" t="s">
        <v>1643</v>
      </c>
      <c r="M172" s="34"/>
      <c r="N172" s="34"/>
      <c r="O172" s="34"/>
      <c r="P172" s="102"/>
      <c r="Q172" s="34"/>
      <c r="R172" s="102"/>
    </row>
    <row r="173" spans="1:18" ht="16.5" x14ac:dyDescent="0.35">
      <c r="A173" s="34" t="s">
        <v>1993</v>
      </c>
      <c r="B173" s="34" t="s">
        <v>2001</v>
      </c>
      <c r="C173" s="20" t="s">
        <v>233</v>
      </c>
      <c r="D173" s="34">
        <v>0</v>
      </c>
      <c r="E173" s="34">
        <v>85</v>
      </c>
      <c r="F173" s="254">
        <v>1.36</v>
      </c>
      <c r="G173" s="174" t="s">
        <v>572</v>
      </c>
      <c r="H173" s="34" t="s">
        <v>1643</v>
      </c>
      <c r="I173" s="34">
        <v>85</v>
      </c>
      <c r="J173" s="104" t="str">
        <f>HYPERLINK("https://www.examplebusiness.com/","https://www.examplebusiness.com/")</f>
        <v>https://www.examplebusiness.com/</v>
      </c>
      <c r="K173" s="34" t="s">
        <v>1643</v>
      </c>
      <c r="L173" s="34" t="s">
        <v>1643</v>
      </c>
      <c r="M173" s="34"/>
      <c r="N173" s="34"/>
      <c r="O173" s="34"/>
      <c r="P173" s="102"/>
      <c r="Q173" s="34"/>
      <c r="R173" s="102"/>
    </row>
    <row r="174" spans="1:18" ht="16.5" x14ac:dyDescent="0.35">
      <c r="A174" s="34" t="s">
        <v>1986</v>
      </c>
      <c r="B174" s="34" t="s">
        <v>1986</v>
      </c>
      <c r="C174" s="20" t="s">
        <v>234</v>
      </c>
      <c r="D174" s="34">
        <v>0</v>
      </c>
      <c r="E174" s="34">
        <v>85</v>
      </c>
      <c r="F174" s="254">
        <v>0</v>
      </c>
      <c r="G174" s="174" t="s">
        <v>597</v>
      </c>
      <c r="H174" s="34" t="s">
        <v>1643</v>
      </c>
      <c r="I174" s="34">
        <v>90</v>
      </c>
      <c r="J174" s="104" t="str">
        <f>HYPERLINK("https://www.examplebusiness.com/blog/tax-planning-for-income","https://www.examplebusiness.com/blog/tax-planning-for-income")</f>
        <v>https://www.examplebusiness.com/blog/tax-planning-for-income</v>
      </c>
      <c r="K174" s="34" t="s">
        <v>1643</v>
      </c>
      <c r="L174" s="34" t="s">
        <v>1643</v>
      </c>
      <c r="M174" s="34"/>
      <c r="N174" s="34"/>
      <c r="O174" s="34"/>
      <c r="P174" s="102"/>
      <c r="Q174" s="34"/>
      <c r="R174" s="102"/>
    </row>
    <row r="175" spans="1:18" ht="16.5" x14ac:dyDescent="0.35">
      <c r="A175" s="34" t="s">
        <v>1986</v>
      </c>
      <c r="B175" s="34" t="s">
        <v>1986</v>
      </c>
      <c r="C175" s="20" t="s">
        <v>2558</v>
      </c>
      <c r="D175" s="34">
        <v>1</v>
      </c>
      <c r="E175" s="34">
        <v>85</v>
      </c>
      <c r="F175" s="254">
        <v>2.37</v>
      </c>
      <c r="G175" s="174" t="s">
        <v>572</v>
      </c>
      <c r="H175" s="34" t="s">
        <v>1643</v>
      </c>
      <c r="I175" s="34">
        <v>94</v>
      </c>
      <c r="J175" s="104" t="str">
        <f>HYPERLINK("https://www.examplebusiness.com/","https://www.examplebusiness.com/")</f>
        <v>https://www.examplebusiness.com/</v>
      </c>
      <c r="K175" s="34" t="s">
        <v>1643</v>
      </c>
      <c r="L175" s="34" t="s">
        <v>1643</v>
      </c>
      <c r="M175" s="34"/>
      <c r="N175" s="34"/>
      <c r="O175" s="34"/>
      <c r="P175" s="102"/>
      <c r="Q175" s="34"/>
      <c r="R175" s="102"/>
    </row>
    <row r="176" spans="1:18" ht="16.5" x14ac:dyDescent="0.35">
      <c r="A176" s="34" t="s">
        <v>1986</v>
      </c>
      <c r="B176" s="34" t="s">
        <v>1986</v>
      </c>
      <c r="C176" s="20" t="s">
        <v>236</v>
      </c>
      <c r="D176" s="34">
        <v>30</v>
      </c>
      <c r="E176" s="34">
        <v>85</v>
      </c>
      <c r="F176" s="254">
        <v>0</v>
      </c>
      <c r="G176" s="174" t="s">
        <v>600</v>
      </c>
      <c r="H176" s="34" t="s">
        <v>1643</v>
      </c>
      <c r="I176" s="34">
        <v>96</v>
      </c>
      <c r="J176" s="104" t="str">
        <f>HYPERLINK("https://www.examplebusiness.com/tools/tax-resources/tax-calendar","https://www.examplebusiness.com/tools/tax-resources/tax-calendar")</f>
        <v>https://www.examplebusiness.com/tools/tax-resources/tax-calendar</v>
      </c>
      <c r="K176" s="34" t="s">
        <v>1643</v>
      </c>
      <c r="L176" s="34" t="s">
        <v>1643</v>
      </c>
      <c r="M176" s="34"/>
      <c r="N176" s="34"/>
      <c r="O176" s="34"/>
      <c r="P176" s="102"/>
      <c r="Q176" s="34"/>
      <c r="R176" s="102"/>
    </row>
    <row r="177" spans="1:18" ht="16.5" x14ac:dyDescent="0.35">
      <c r="A177" s="34" t="s">
        <v>1989</v>
      </c>
      <c r="B177" s="34" t="s">
        <v>1990</v>
      </c>
      <c r="C177" s="20" t="s">
        <v>2559</v>
      </c>
      <c r="D177" s="34">
        <v>2</v>
      </c>
      <c r="E177" s="34">
        <v>80</v>
      </c>
      <c r="F177" s="254" t="s">
        <v>70</v>
      </c>
      <c r="G177" s="174" t="s">
        <v>2018</v>
      </c>
      <c r="H177" s="34" t="s">
        <v>1992</v>
      </c>
      <c r="I177" s="34" t="s">
        <v>1992</v>
      </c>
      <c r="J177" s="20" t="s">
        <v>1992</v>
      </c>
      <c r="K177" s="34" t="s">
        <v>1992</v>
      </c>
      <c r="L177" s="34" t="s">
        <v>1992</v>
      </c>
      <c r="M177" s="34"/>
      <c r="N177" s="34"/>
      <c r="O177" s="34"/>
      <c r="P177" s="102"/>
      <c r="Q177" s="34"/>
      <c r="R177" s="102"/>
    </row>
    <row r="178" spans="1:18" ht="16.5" x14ac:dyDescent="0.35">
      <c r="A178" s="34" t="s">
        <v>1989</v>
      </c>
      <c r="B178" s="34" t="s">
        <v>1994</v>
      </c>
      <c r="C178" s="20" t="s">
        <v>237</v>
      </c>
      <c r="D178" s="34">
        <v>44</v>
      </c>
      <c r="E178" s="34">
        <v>80</v>
      </c>
      <c r="F178" s="254">
        <v>7.4349999999999996</v>
      </c>
      <c r="G178" s="174" t="s">
        <v>2019</v>
      </c>
      <c r="H178" s="34" t="s">
        <v>1992</v>
      </c>
      <c r="I178" s="34" t="s">
        <v>1992</v>
      </c>
      <c r="J178" s="20" t="s">
        <v>1992</v>
      </c>
      <c r="K178" s="34" t="s">
        <v>1992</v>
      </c>
      <c r="L178" s="34" t="s">
        <v>1992</v>
      </c>
      <c r="M178" s="34"/>
      <c r="N178" s="34"/>
      <c r="O178" s="34"/>
      <c r="P178" s="102"/>
      <c r="Q178" s="34"/>
      <c r="R178" s="102"/>
    </row>
    <row r="179" spans="1:18" ht="16.5" x14ac:dyDescent="0.35">
      <c r="A179" s="34" t="s">
        <v>1986</v>
      </c>
      <c r="B179" s="34" t="s">
        <v>1986</v>
      </c>
      <c r="C179" s="20" t="s">
        <v>238</v>
      </c>
      <c r="D179" s="34">
        <v>11</v>
      </c>
      <c r="E179" s="34">
        <v>80</v>
      </c>
      <c r="F179" s="254">
        <v>5.56</v>
      </c>
      <c r="G179" s="174" t="s">
        <v>572</v>
      </c>
      <c r="H179" s="34" t="s">
        <v>1643</v>
      </c>
      <c r="I179" s="34">
        <v>36</v>
      </c>
      <c r="J179" s="104" t="str">
        <f>HYPERLINK("https://www.examplebusiness.com/","https://www.examplebusiness.com/")</f>
        <v>https://www.examplebusiness.com/</v>
      </c>
      <c r="K179" s="34" t="s">
        <v>1643</v>
      </c>
      <c r="L179" s="34" t="s">
        <v>1643</v>
      </c>
      <c r="M179" s="34"/>
      <c r="N179" s="34"/>
      <c r="O179" s="34"/>
      <c r="P179" s="102"/>
      <c r="Q179" s="34"/>
      <c r="R179" s="102"/>
    </row>
    <row r="180" spans="1:18" ht="16.5" x14ac:dyDescent="0.35">
      <c r="A180" s="34" t="s">
        <v>1986</v>
      </c>
      <c r="B180" s="34" t="s">
        <v>1986</v>
      </c>
      <c r="C180" s="20" t="s">
        <v>239</v>
      </c>
      <c r="D180" s="34">
        <v>4</v>
      </c>
      <c r="E180" s="34">
        <v>80</v>
      </c>
      <c r="F180" s="254">
        <v>12.52</v>
      </c>
      <c r="G180" s="174" t="s">
        <v>595</v>
      </c>
      <c r="H180" s="34" t="s">
        <v>1643</v>
      </c>
      <c r="I180" s="34">
        <v>32</v>
      </c>
      <c r="J180" s="104" t="str">
        <f>HYPERLINK("https://www.examplebusiness.com/resource-center/insurance/how-does-whole-life-insurance-work","https://www.examplebusiness.com/resource-center/insurance/how-does-whole-life-insurance-work")</f>
        <v>https://www.examplebusiness.com/resource-center/insurance/how-does-whole-life-insurance-work</v>
      </c>
      <c r="K180" s="34" t="s">
        <v>1643</v>
      </c>
      <c r="L180" s="34" t="s">
        <v>1643</v>
      </c>
      <c r="M180" s="34"/>
      <c r="N180" s="34"/>
      <c r="O180" s="34"/>
      <c r="P180" s="102"/>
      <c r="Q180" s="34"/>
      <c r="R180" s="102"/>
    </row>
    <row r="181" spans="1:18" ht="16.5" x14ac:dyDescent="0.35">
      <c r="A181" s="34" t="s">
        <v>1986</v>
      </c>
      <c r="B181" s="34" t="s">
        <v>1986</v>
      </c>
      <c r="C181" s="20" t="s">
        <v>240</v>
      </c>
      <c r="D181" s="34">
        <v>9</v>
      </c>
      <c r="E181" s="34">
        <v>80</v>
      </c>
      <c r="F181" s="254">
        <v>0</v>
      </c>
      <c r="G181" s="174" t="s">
        <v>572</v>
      </c>
      <c r="H181" s="34" t="s">
        <v>1643</v>
      </c>
      <c r="I181" s="34">
        <v>48</v>
      </c>
      <c r="J181" s="104" t="str">
        <f>HYPERLINK("https://www.examplebusiness.com/team/robert-withers-1","https://www.examplebusiness.com/team/robert-withers-1")</f>
        <v>https://www.examplebusiness.com/team/robert-withers-1</v>
      </c>
      <c r="K181" s="34" t="s">
        <v>1643</v>
      </c>
      <c r="L181" s="34" t="s">
        <v>1643</v>
      </c>
      <c r="M181" s="34"/>
      <c r="N181" s="34"/>
      <c r="O181" s="34"/>
      <c r="P181" s="102"/>
      <c r="Q181" s="34"/>
      <c r="R181" s="102"/>
    </row>
    <row r="182" spans="1:18" ht="16.5" x14ac:dyDescent="0.35">
      <c r="A182" s="34" t="s">
        <v>1986</v>
      </c>
      <c r="B182" s="34" t="s">
        <v>1986</v>
      </c>
      <c r="C182" s="20" t="s">
        <v>241</v>
      </c>
      <c r="D182" s="34">
        <v>0</v>
      </c>
      <c r="E182" s="34">
        <v>80</v>
      </c>
      <c r="F182" s="254">
        <v>5.12</v>
      </c>
      <c r="G182" s="174" t="s">
        <v>570</v>
      </c>
      <c r="H182" s="34" t="s">
        <v>1643</v>
      </c>
      <c r="I182" s="34">
        <v>71</v>
      </c>
      <c r="J182" s="104" t="str">
        <f>HYPERLINK("https://www.examplebusiness.com/team/dan-mohoney-1","https://www.examplebusiness.com/team/dan-mohoney-1")</f>
        <v>https://www.examplebusiness.com/team/dan-mohoney-1</v>
      </c>
      <c r="K182" s="34" t="s">
        <v>1643</v>
      </c>
      <c r="L182" s="34" t="s">
        <v>1643</v>
      </c>
      <c r="M182" s="34"/>
      <c r="N182" s="34"/>
      <c r="O182" s="34"/>
      <c r="P182" s="102"/>
      <c r="Q182" s="34"/>
      <c r="R182" s="102"/>
    </row>
    <row r="183" spans="1:18" ht="16.5" x14ac:dyDescent="0.35">
      <c r="A183" s="34" t="s">
        <v>1988</v>
      </c>
      <c r="B183" s="34" t="s">
        <v>1986</v>
      </c>
      <c r="C183" s="20" t="s">
        <v>242</v>
      </c>
      <c r="D183" s="34">
        <v>54</v>
      </c>
      <c r="E183" s="34">
        <v>80</v>
      </c>
      <c r="F183" s="254">
        <v>0</v>
      </c>
      <c r="G183" s="174" t="s">
        <v>644</v>
      </c>
      <c r="H183" s="34" t="s">
        <v>1643</v>
      </c>
      <c r="I183" s="34">
        <v>82</v>
      </c>
      <c r="J183" s="104" t="str">
        <f>HYPERLINK("https://www.examplebusiness.com/resource-center/tax/how-income-taxes-work","https://www.examplebusiness.com/resource-center/tax/how-income-taxes-work")</f>
        <v>https://www.examplebusiness.com/resource-center/tax/how-income-taxes-work</v>
      </c>
      <c r="K183" s="34" t="s">
        <v>1643</v>
      </c>
      <c r="L183" s="34" t="s">
        <v>1643</v>
      </c>
      <c r="M183" s="34"/>
      <c r="N183" s="34"/>
      <c r="O183" s="34"/>
      <c r="P183" s="102"/>
      <c r="Q183" s="34"/>
      <c r="R183" s="102"/>
    </row>
    <row r="184" spans="1:18" ht="16.5" x14ac:dyDescent="0.35">
      <c r="A184" s="34" t="s">
        <v>1989</v>
      </c>
      <c r="B184" s="34" t="s">
        <v>1994</v>
      </c>
      <c r="C184" s="20" t="s">
        <v>243</v>
      </c>
      <c r="D184" s="34">
        <v>40</v>
      </c>
      <c r="E184" s="34">
        <v>75</v>
      </c>
      <c r="F184" s="254">
        <v>23.965</v>
      </c>
      <c r="G184" s="174" t="s">
        <v>2020</v>
      </c>
      <c r="H184" s="34" t="s">
        <v>1992</v>
      </c>
      <c r="I184" s="34" t="s">
        <v>1992</v>
      </c>
      <c r="J184" s="20" t="s">
        <v>1992</v>
      </c>
      <c r="K184" s="34" t="s">
        <v>1992</v>
      </c>
      <c r="L184" s="34" t="s">
        <v>1992</v>
      </c>
      <c r="M184" s="34"/>
      <c r="N184" s="34"/>
      <c r="O184" s="34"/>
      <c r="P184" s="102"/>
      <c r="Q184" s="34"/>
      <c r="R184" s="102"/>
    </row>
    <row r="185" spans="1:18" ht="16.5" x14ac:dyDescent="0.35">
      <c r="A185" s="34" t="s">
        <v>1989</v>
      </c>
      <c r="B185" s="34" t="s">
        <v>1994</v>
      </c>
      <c r="C185" s="20" t="s">
        <v>244</v>
      </c>
      <c r="D185" s="34">
        <v>49</v>
      </c>
      <c r="E185" s="34">
        <v>75</v>
      </c>
      <c r="F185" s="254">
        <v>18.07</v>
      </c>
      <c r="G185" s="174" t="s">
        <v>1997</v>
      </c>
      <c r="H185" s="34" t="s">
        <v>1992</v>
      </c>
      <c r="I185" s="34" t="s">
        <v>1992</v>
      </c>
      <c r="J185" s="20" t="s">
        <v>1992</v>
      </c>
      <c r="K185" s="34" t="s">
        <v>1992</v>
      </c>
      <c r="L185" s="34" t="s">
        <v>1992</v>
      </c>
      <c r="M185" s="34"/>
      <c r="N185" s="34"/>
      <c r="O185" s="34"/>
      <c r="P185" s="102"/>
      <c r="Q185" s="34"/>
      <c r="R185" s="102"/>
    </row>
    <row r="186" spans="1:18" ht="16.5" x14ac:dyDescent="0.35">
      <c r="A186" s="34" t="s">
        <v>1989</v>
      </c>
      <c r="B186" s="34" t="s">
        <v>1994</v>
      </c>
      <c r="C186" s="20" t="s">
        <v>245</v>
      </c>
      <c r="D186" s="34">
        <v>42</v>
      </c>
      <c r="E186" s="34">
        <v>75</v>
      </c>
      <c r="F186" s="254">
        <v>22.67</v>
      </c>
      <c r="G186" s="174" t="s">
        <v>1997</v>
      </c>
      <c r="H186" s="34" t="s">
        <v>1992</v>
      </c>
      <c r="I186" s="34" t="s">
        <v>1992</v>
      </c>
      <c r="J186" s="20" t="s">
        <v>1992</v>
      </c>
      <c r="K186" s="34" t="s">
        <v>1992</v>
      </c>
      <c r="L186" s="34" t="s">
        <v>1992</v>
      </c>
      <c r="M186" s="34"/>
      <c r="N186" s="34"/>
      <c r="O186" s="34"/>
      <c r="P186" s="102"/>
      <c r="Q186" s="34"/>
      <c r="R186" s="102"/>
    </row>
    <row r="187" spans="1:18" ht="16.5" x14ac:dyDescent="0.35">
      <c r="A187" s="34" t="s">
        <v>1986</v>
      </c>
      <c r="B187" s="34" t="s">
        <v>1986</v>
      </c>
      <c r="C187" s="20" t="s">
        <v>2495</v>
      </c>
      <c r="D187" s="34">
        <v>6</v>
      </c>
      <c r="E187" s="34">
        <v>75</v>
      </c>
      <c r="F187" s="254">
        <v>0</v>
      </c>
      <c r="G187" s="174" t="s">
        <v>575</v>
      </c>
      <c r="H187" s="34" t="s">
        <v>1643</v>
      </c>
      <c r="I187" s="34">
        <v>13</v>
      </c>
      <c r="J187" s="104" t="str">
        <f>HYPERLINK("https://www.examplebusiness.com/resource-center/lifestyle/the-Example-literacy-crisis","https://www.examplebusiness.com/resource-center/lifestyle/the-Example-literacy-crisis")</f>
        <v>https://www.examplebusiness.com/resource-center/lifestyle/the-Example-literacy-crisis</v>
      </c>
      <c r="K187" s="34" t="s">
        <v>1643</v>
      </c>
      <c r="L187" s="34" t="s">
        <v>1643</v>
      </c>
      <c r="M187" s="34"/>
      <c r="N187" s="34"/>
      <c r="O187" s="34"/>
      <c r="P187" s="102"/>
      <c r="Q187" s="34"/>
      <c r="R187" s="102"/>
    </row>
    <row r="188" spans="1:18" ht="16.5" x14ac:dyDescent="0.35">
      <c r="A188" s="34" t="s">
        <v>1986</v>
      </c>
      <c r="B188" s="34" t="s">
        <v>1986</v>
      </c>
      <c r="C188" s="20" t="s">
        <v>247</v>
      </c>
      <c r="D188" s="34">
        <v>2</v>
      </c>
      <c r="E188" s="34">
        <v>75</v>
      </c>
      <c r="F188" s="254">
        <v>0</v>
      </c>
      <c r="G188" s="174" t="s">
        <v>572</v>
      </c>
      <c r="H188" s="34" t="s">
        <v>1643</v>
      </c>
      <c r="I188" s="34">
        <v>59</v>
      </c>
      <c r="J188" s="104" t="str">
        <f>HYPERLINK("https://www.examplebusiness.com/blog","https://www.examplebusiness.com/blog")</f>
        <v>https://www.examplebusiness.com/blog</v>
      </c>
      <c r="K188" s="34" t="s">
        <v>1643</v>
      </c>
      <c r="L188" s="34" t="s">
        <v>1643</v>
      </c>
      <c r="M188" s="34"/>
      <c r="N188" s="34"/>
      <c r="O188" s="34"/>
      <c r="P188" s="102"/>
      <c r="Q188" s="34"/>
      <c r="R188" s="102"/>
    </row>
    <row r="189" spans="1:18" ht="16.5" x14ac:dyDescent="0.35">
      <c r="A189" s="34" t="s">
        <v>1988</v>
      </c>
      <c r="B189" s="34" t="s">
        <v>1986</v>
      </c>
      <c r="C189" s="20" t="s">
        <v>248</v>
      </c>
      <c r="D189" s="34">
        <v>20</v>
      </c>
      <c r="E189" s="34">
        <v>75</v>
      </c>
      <c r="F189" s="254">
        <v>0</v>
      </c>
      <c r="G189" s="174" t="s">
        <v>623</v>
      </c>
      <c r="H189" s="34" t="s">
        <v>1643</v>
      </c>
      <c r="I189" s="34">
        <v>60</v>
      </c>
      <c r="J189" s="104" t="str">
        <f>HYPERLINK("https://www.examplebusiness.com/team/mike-rogers-1","https://www.examplebusiness.com/team/mike-rogers-1")</f>
        <v>https://www.examplebusiness.com/team/mike-rogers-1</v>
      </c>
      <c r="K189" s="34" t="s">
        <v>1643</v>
      </c>
      <c r="L189" s="34" t="s">
        <v>1643</v>
      </c>
      <c r="M189" s="34"/>
      <c r="N189" s="34"/>
      <c r="O189" s="34"/>
      <c r="P189" s="102"/>
      <c r="Q189" s="34"/>
      <c r="R189" s="102"/>
    </row>
    <row r="190" spans="1:18" ht="16.5" x14ac:dyDescent="0.35">
      <c r="A190" s="34" t="s">
        <v>1986</v>
      </c>
      <c r="B190" s="34" t="s">
        <v>1986</v>
      </c>
      <c r="C190" s="20" t="s">
        <v>249</v>
      </c>
      <c r="D190" s="34">
        <v>2</v>
      </c>
      <c r="E190" s="34">
        <v>75</v>
      </c>
      <c r="F190" s="254">
        <v>4.76</v>
      </c>
      <c r="G190" s="174" t="s">
        <v>601</v>
      </c>
      <c r="H190" s="34" t="s">
        <v>1643</v>
      </c>
      <c r="I190" s="34">
        <v>61</v>
      </c>
      <c r="J190" s="104" t="str">
        <f>HYPERLINK("https://www.examplebusiness.com/team/robert-withers-1","https://www.examplebusiness.com/team/robert-withers-1")</f>
        <v>https://www.examplebusiness.com/team/robert-withers-1</v>
      </c>
      <c r="K190" s="34" t="s">
        <v>1643</v>
      </c>
      <c r="L190" s="34" t="s">
        <v>1643</v>
      </c>
      <c r="M190" s="34"/>
      <c r="N190" s="34"/>
      <c r="O190" s="34"/>
      <c r="P190" s="102"/>
      <c r="Q190" s="34"/>
      <c r="R190" s="102"/>
    </row>
    <row r="191" spans="1:18" ht="16.5" x14ac:dyDescent="0.35">
      <c r="A191" s="34" t="s">
        <v>1986</v>
      </c>
      <c r="B191" s="34" t="s">
        <v>1986</v>
      </c>
      <c r="C191" s="20" t="s">
        <v>250</v>
      </c>
      <c r="D191" s="34">
        <v>0</v>
      </c>
      <c r="E191" s="34">
        <v>75</v>
      </c>
      <c r="F191" s="254">
        <v>0</v>
      </c>
      <c r="G191" s="174" t="s">
        <v>571</v>
      </c>
      <c r="H191" s="34" t="s">
        <v>1643</v>
      </c>
      <c r="I191" s="34">
        <v>60</v>
      </c>
      <c r="J191" s="104" t="str">
        <f>HYPERLINK("https://www.examplebusiness.com/team/tom-whitnah-1","https://www.examplebusiness.com/team/tom-whitnah-1")</f>
        <v>https://www.examplebusiness.com/team/tom-whitnah-1</v>
      </c>
      <c r="K191" s="34" t="s">
        <v>1643</v>
      </c>
      <c r="L191" s="34" t="s">
        <v>1643</v>
      </c>
      <c r="M191" s="34"/>
      <c r="N191" s="34"/>
      <c r="O191" s="34"/>
      <c r="P191" s="102"/>
      <c r="Q191" s="34"/>
      <c r="R191" s="102"/>
    </row>
    <row r="192" spans="1:18" ht="16.5" x14ac:dyDescent="0.35">
      <c r="A192" s="34" t="s">
        <v>1986</v>
      </c>
      <c r="B192" s="34" t="s">
        <v>1986</v>
      </c>
      <c r="C192" s="20" t="s">
        <v>2560</v>
      </c>
      <c r="D192" s="34">
        <v>0</v>
      </c>
      <c r="E192" s="34">
        <v>75</v>
      </c>
      <c r="F192" s="254">
        <v>1.63</v>
      </c>
      <c r="G192" s="174" t="s">
        <v>572</v>
      </c>
      <c r="H192" s="34" t="s">
        <v>1643</v>
      </c>
      <c r="I192" s="34">
        <v>76</v>
      </c>
      <c r="J192" s="104" t="str">
        <f>HYPERLINK("https://www.examplebusiness.com/blog/abc-Example-acquires-true-north-capital-alliance","https://www.examplebusiness.com/blog/abc-Example-acquires-true-north-capital-alliance")</f>
        <v>https://www.examplebusiness.com/blog/abc-Example-acquires-true-north-capital-alliance</v>
      </c>
      <c r="K192" s="34" t="s">
        <v>1643</v>
      </c>
      <c r="L192" s="34" t="s">
        <v>1643</v>
      </c>
      <c r="M192" s="34"/>
      <c r="N192" s="34"/>
      <c r="O192" s="34"/>
      <c r="P192" s="102"/>
      <c r="Q192" s="34"/>
      <c r="R192" s="102"/>
    </row>
    <row r="193" spans="1:18" ht="16.5" x14ac:dyDescent="0.35">
      <c r="A193" s="34" t="s">
        <v>1986</v>
      </c>
      <c r="B193" s="34" t="s">
        <v>1986</v>
      </c>
      <c r="C193" s="20" t="s">
        <v>252</v>
      </c>
      <c r="D193" s="34">
        <v>6</v>
      </c>
      <c r="E193" s="34">
        <v>75</v>
      </c>
      <c r="F193" s="254">
        <v>0</v>
      </c>
      <c r="G193" s="174"/>
      <c r="H193" s="34" t="s">
        <v>1643</v>
      </c>
      <c r="I193" s="34">
        <v>74</v>
      </c>
      <c r="J193" s="104" t="str">
        <f>HYPERLINK("http://www.examplebusiness.com/resource-center/money/spotting-credit-trouble","http://www.examplebusiness.com/resource-center/money/spotting-credit-trouble")</f>
        <v>http://www.examplebusiness.com/resource-center/money/spotting-credit-trouble</v>
      </c>
      <c r="K193" s="34" t="s">
        <v>1643</v>
      </c>
      <c r="L193" s="34" t="s">
        <v>1643</v>
      </c>
      <c r="M193" s="34"/>
      <c r="N193" s="34"/>
      <c r="O193" s="34"/>
      <c r="P193" s="102"/>
      <c r="Q193" s="34"/>
      <c r="R193" s="102"/>
    </row>
    <row r="194" spans="1:18" ht="16.5" x14ac:dyDescent="0.35">
      <c r="A194" s="34" t="s">
        <v>1986</v>
      </c>
      <c r="B194" s="34" t="s">
        <v>1986</v>
      </c>
      <c r="C194" s="20" t="s">
        <v>253</v>
      </c>
      <c r="D194" s="34">
        <v>56</v>
      </c>
      <c r="E194" s="34">
        <v>75</v>
      </c>
      <c r="F194" s="254">
        <v>0.02</v>
      </c>
      <c r="G194" s="174" t="s">
        <v>594</v>
      </c>
      <c r="H194" s="34" t="s">
        <v>1643</v>
      </c>
      <c r="I194" s="34">
        <v>80</v>
      </c>
      <c r="J194" s="104" t="str">
        <f>HYPERLINK("https://www.examplebusiness.com/resource-center/money/life-and-death-of-a-20-dollar-bill","https://www.examplebusiness.com/resource-center/money/life-and-death-of-a-20-dollar-bill")</f>
        <v>https://www.examplebusiness.com/resource-center/money/life-and-death-of-a-20-dollar-bill</v>
      </c>
      <c r="K194" s="34" t="s">
        <v>1643</v>
      </c>
      <c r="L194" s="34" t="s">
        <v>1643</v>
      </c>
      <c r="M194" s="34"/>
      <c r="N194" s="34"/>
      <c r="O194" s="34"/>
      <c r="P194" s="102"/>
      <c r="Q194" s="34"/>
      <c r="R194" s="102"/>
    </row>
    <row r="195" spans="1:18" ht="16.5" x14ac:dyDescent="0.35">
      <c r="A195" s="34" t="s">
        <v>1986</v>
      </c>
      <c r="B195" s="34" t="s">
        <v>1986</v>
      </c>
      <c r="C195" s="20" t="s">
        <v>254</v>
      </c>
      <c r="D195" s="34">
        <v>45</v>
      </c>
      <c r="E195" s="34">
        <v>75</v>
      </c>
      <c r="F195" s="254">
        <v>6.12</v>
      </c>
      <c r="G195" s="174" t="s">
        <v>657</v>
      </c>
      <c r="H195" s="34" t="s">
        <v>1643</v>
      </c>
      <c r="I195" s="34">
        <v>90</v>
      </c>
      <c r="J195" s="104" t="str">
        <f>HYPERLINK("https://www.examplebusiness.com/blog/what-president-trumps-tariff-means-for-you","https://www.examplebusiness.com/blog/what-president-trumps-tariff-means-for-you")</f>
        <v>https://www.examplebusiness.com/blog/what-president-trumps-tariff-means-for-you</v>
      </c>
      <c r="K195" s="34" t="s">
        <v>1643</v>
      </c>
      <c r="L195" s="34" t="s">
        <v>1643</v>
      </c>
      <c r="M195" s="34"/>
      <c r="N195" s="34"/>
      <c r="O195" s="34"/>
      <c r="P195" s="102"/>
      <c r="Q195" s="34"/>
      <c r="R195" s="102"/>
    </row>
    <row r="196" spans="1:18" ht="16.5" x14ac:dyDescent="0.35">
      <c r="A196" s="34" t="s">
        <v>1989</v>
      </c>
      <c r="B196" s="34" t="s">
        <v>1987</v>
      </c>
      <c r="C196" s="20" t="s">
        <v>255</v>
      </c>
      <c r="D196" s="34">
        <v>34</v>
      </c>
      <c r="E196" s="34">
        <v>70</v>
      </c>
      <c r="F196" s="254">
        <v>0</v>
      </c>
      <c r="G196" s="174" t="s">
        <v>2021</v>
      </c>
      <c r="H196" s="34" t="s">
        <v>1992</v>
      </c>
      <c r="I196" s="34" t="s">
        <v>1992</v>
      </c>
      <c r="J196" s="20" t="s">
        <v>1992</v>
      </c>
      <c r="K196" s="34" t="s">
        <v>1992</v>
      </c>
      <c r="L196" s="34" t="s">
        <v>1992</v>
      </c>
      <c r="M196" s="34"/>
      <c r="N196" s="34"/>
      <c r="O196" s="34"/>
      <c r="P196" s="102"/>
      <c r="Q196" s="34"/>
      <c r="R196" s="102"/>
    </row>
    <row r="197" spans="1:18" ht="16.5" x14ac:dyDescent="0.35">
      <c r="A197" s="34" t="s">
        <v>1989</v>
      </c>
      <c r="B197" s="34" t="s">
        <v>1994</v>
      </c>
      <c r="C197" s="20" t="s">
        <v>256</v>
      </c>
      <c r="D197" s="34">
        <v>42</v>
      </c>
      <c r="E197" s="34">
        <v>70</v>
      </c>
      <c r="F197" s="254">
        <v>16.305</v>
      </c>
      <c r="G197" s="174" t="s">
        <v>1995</v>
      </c>
      <c r="H197" s="34" t="s">
        <v>1992</v>
      </c>
      <c r="I197" s="34" t="s">
        <v>1992</v>
      </c>
      <c r="J197" s="20" t="s">
        <v>1992</v>
      </c>
      <c r="K197" s="34" t="s">
        <v>1992</v>
      </c>
      <c r="L197" s="34" t="s">
        <v>1992</v>
      </c>
      <c r="M197" s="34"/>
      <c r="N197" s="34"/>
      <c r="O197" s="34"/>
      <c r="P197" s="102"/>
      <c r="Q197" s="34"/>
      <c r="R197" s="102"/>
    </row>
    <row r="198" spans="1:18" ht="16.5" x14ac:dyDescent="0.35">
      <c r="A198" s="34" t="s">
        <v>1989</v>
      </c>
      <c r="B198" s="34" t="s">
        <v>1994</v>
      </c>
      <c r="C198" s="20" t="s">
        <v>257</v>
      </c>
      <c r="D198" s="34">
        <v>45</v>
      </c>
      <c r="E198" s="34">
        <v>70</v>
      </c>
      <c r="F198" s="254">
        <v>15.57</v>
      </c>
      <c r="G198" s="174" t="s">
        <v>2022</v>
      </c>
      <c r="H198" s="34" t="s">
        <v>1992</v>
      </c>
      <c r="I198" s="34" t="s">
        <v>1992</v>
      </c>
      <c r="J198" s="20" t="s">
        <v>1992</v>
      </c>
      <c r="K198" s="34" t="s">
        <v>1992</v>
      </c>
      <c r="L198" s="34" t="s">
        <v>1992</v>
      </c>
      <c r="M198" s="34"/>
      <c r="N198" s="34"/>
      <c r="O198" s="34"/>
      <c r="P198" s="102"/>
      <c r="Q198" s="34"/>
      <c r="R198" s="102"/>
    </row>
    <row r="199" spans="1:18" ht="16.5" x14ac:dyDescent="0.35">
      <c r="A199" s="34" t="s">
        <v>1986</v>
      </c>
      <c r="B199" s="34" t="s">
        <v>1986</v>
      </c>
      <c r="C199" s="20" t="s">
        <v>258</v>
      </c>
      <c r="D199" s="34">
        <v>0</v>
      </c>
      <c r="E199" s="34">
        <v>70</v>
      </c>
      <c r="F199" s="254">
        <v>0</v>
      </c>
      <c r="G199" s="174" t="s">
        <v>576</v>
      </c>
      <c r="H199" s="34" t="s">
        <v>1643</v>
      </c>
      <c r="I199" s="34">
        <v>8</v>
      </c>
      <c r="J199" s="104" t="str">
        <f>HYPERLINK("https://www.examplebusiness.com/team/robert-withers-1","https://www.examplebusiness.com/team/robert-withers-1")</f>
        <v>https://www.examplebusiness.com/team/robert-withers-1</v>
      </c>
      <c r="K199" s="34" t="s">
        <v>1643</v>
      </c>
      <c r="L199" s="34" t="s">
        <v>1643</v>
      </c>
      <c r="M199" s="34"/>
      <c r="N199" s="34"/>
      <c r="O199" s="34"/>
      <c r="P199" s="102"/>
      <c r="Q199" s="34"/>
      <c r="R199" s="102"/>
    </row>
    <row r="200" spans="1:18" ht="16.5" x14ac:dyDescent="0.35">
      <c r="A200" s="34" t="s">
        <v>1986</v>
      </c>
      <c r="B200" s="34" t="s">
        <v>1986</v>
      </c>
      <c r="C200" s="20" t="s">
        <v>259</v>
      </c>
      <c r="D200" s="34">
        <v>19</v>
      </c>
      <c r="E200" s="34">
        <v>70</v>
      </c>
      <c r="F200" s="254">
        <v>4.79</v>
      </c>
      <c r="G200" s="174" t="s">
        <v>588</v>
      </c>
      <c r="H200" s="34" t="s">
        <v>1643</v>
      </c>
      <c r="I200" s="34">
        <v>21</v>
      </c>
      <c r="J200" s="104" t="str">
        <f>HYPERLINK("https://www.examplebusiness.com/resource-center/lifestyle/should-you-choose-a-fixed-or-variable","https://www.examplebusiness.com/resource-center/lifestyle/should-you-choose-a-fixed-or-variable")</f>
        <v>https://www.examplebusiness.com/resource-center/lifestyle/should-you-choose-a-fixed-or-variable</v>
      </c>
      <c r="K200" s="34" t="s">
        <v>1643</v>
      </c>
      <c r="L200" s="34" t="s">
        <v>1643</v>
      </c>
      <c r="M200" s="34"/>
      <c r="N200" s="34"/>
      <c r="O200" s="34"/>
      <c r="P200" s="102"/>
      <c r="Q200" s="34"/>
      <c r="R200" s="102"/>
    </row>
    <row r="201" spans="1:18" ht="16.5" x14ac:dyDescent="0.35">
      <c r="A201" s="34" t="s">
        <v>1993</v>
      </c>
      <c r="B201" s="34" t="s">
        <v>1994</v>
      </c>
      <c r="C201" s="20" t="s">
        <v>260</v>
      </c>
      <c r="D201" s="34">
        <v>1</v>
      </c>
      <c r="E201" s="34">
        <v>65</v>
      </c>
      <c r="F201" s="254">
        <v>22.3</v>
      </c>
      <c r="G201" s="174" t="s">
        <v>2023</v>
      </c>
      <c r="H201" s="34" t="s">
        <v>1992</v>
      </c>
      <c r="I201" s="34" t="s">
        <v>1992</v>
      </c>
      <c r="J201" s="20" t="s">
        <v>1992</v>
      </c>
      <c r="K201" s="34" t="s">
        <v>1992</v>
      </c>
      <c r="L201" s="34" t="s">
        <v>1992</v>
      </c>
      <c r="M201" s="34"/>
      <c r="N201" s="34"/>
      <c r="O201" s="34"/>
      <c r="P201" s="102"/>
      <c r="Q201" s="34"/>
      <c r="R201" s="102"/>
    </row>
    <row r="202" spans="1:18" ht="16.5" x14ac:dyDescent="0.35">
      <c r="A202" s="34" t="s">
        <v>1989</v>
      </c>
      <c r="B202" s="34" t="s">
        <v>1994</v>
      </c>
      <c r="C202" s="20" t="s">
        <v>261</v>
      </c>
      <c r="D202" s="34">
        <v>39</v>
      </c>
      <c r="E202" s="34">
        <v>65</v>
      </c>
      <c r="F202" s="254">
        <v>14.645</v>
      </c>
      <c r="G202" s="174" t="s">
        <v>1997</v>
      </c>
      <c r="H202" s="34" t="s">
        <v>1992</v>
      </c>
      <c r="I202" s="34" t="s">
        <v>1992</v>
      </c>
      <c r="J202" s="20" t="s">
        <v>1992</v>
      </c>
      <c r="K202" s="34" t="s">
        <v>1992</v>
      </c>
      <c r="L202" s="34" t="s">
        <v>1992</v>
      </c>
      <c r="M202" s="34"/>
      <c r="N202" s="34"/>
      <c r="O202" s="34"/>
      <c r="P202" s="102"/>
      <c r="Q202" s="34"/>
      <c r="R202" s="102"/>
    </row>
    <row r="203" spans="1:18" ht="16.5" x14ac:dyDescent="0.35">
      <c r="A203" s="34" t="s">
        <v>1989</v>
      </c>
      <c r="B203" s="34" t="s">
        <v>1987</v>
      </c>
      <c r="C203" s="20" t="s">
        <v>262</v>
      </c>
      <c r="D203" s="34">
        <v>57</v>
      </c>
      <c r="E203" s="34">
        <v>65</v>
      </c>
      <c r="F203" s="254">
        <v>3.6349999999999998</v>
      </c>
      <c r="G203" s="174" t="s">
        <v>2012</v>
      </c>
      <c r="H203" s="34" t="s">
        <v>1992</v>
      </c>
      <c r="I203" s="34" t="s">
        <v>1992</v>
      </c>
      <c r="J203" s="20" t="s">
        <v>1992</v>
      </c>
      <c r="K203" s="34" t="s">
        <v>1992</v>
      </c>
      <c r="L203" s="34" t="s">
        <v>1992</v>
      </c>
      <c r="M203" s="34"/>
      <c r="N203" s="34"/>
      <c r="O203" s="34"/>
      <c r="P203" s="102"/>
      <c r="Q203" s="34"/>
      <c r="R203" s="102"/>
    </row>
    <row r="204" spans="1:18" ht="16.5" x14ac:dyDescent="0.35">
      <c r="A204" s="34" t="s">
        <v>1989</v>
      </c>
      <c r="B204" s="34" t="s">
        <v>2001</v>
      </c>
      <c r="C204" s="20" t="s">
        <v>263</v>
      </c>
      <c r="D204" s="34">
        <v>3</v>
      </c>
      <c r="E204" s="34">
        <v>65</v>
      </c>
      <c r="F204" s="254">
        <v>2.6399999999999997</v>
      </c>
      <c r="G204" s="174"/>
      <c r="H204" s="34" t="s">
        <v>1992</v>
      </c>
      <c r="I204" s="34" t="s">
        <v>1992</v>
      </c>
      <c r="J204" s="20" t="s">
        <v>1992</v>
      </c>
      <c r="K204" s="34" t="s">
        <v>1992</v>
      </c>
      <c r="L204" s="34" t="s">
        <v>1992</v>
      </c>
      <c r="M204" s="34"/>
      <c r="N204" s="34"/>
      <c r="O204" s="34"/>
      <c r="P204" s="102"/>
      <c r="Q204" s="34"/>
      <c r="R204" s="102"/>
    </row>
    <row r="205" spans="1:18" ht="16.5" x14ac:dyDescent="0.35">
      <c r="A205" s="34" t="s">
        <v>1993</v>
      </c>
      <c r="B205" s="34" t="s">
        <v>1987</v>
      </c>
      <c r="C205" s="20" t="s">
        <v>264</v>
      </c>
      <c r="D205" s="34">
        <v>19</v>
      </c>
      <c r="E205" s="34">
        <v>65</v>
      </c>
      <c r="F205" s="254">
        <v>11.43</v>
      </c>
      <c r="G205" s="174" t="s">
        <v>569</v>
      </c>
      <c r="H205" s="34" t="s">
        <v>1643</v>
      </c>
      <c r="I205" s="34">
        <v>3</v>
      </c>
      <c r="J205" s="104" t="str">
        <f>HYPERLINK("https://www.examplebusiness.com/resource-center/investment","https://www.examplebusiness.com/resource-center/investment")</f>
        <v>https://www.examplebusiness.com/resource-center/investment</v>
      </c>
      <c r="K205" s="34" t="s">
        <v>1643</v>
      </c>
      <c r="L205" s="34" t="s">
        <v>1643</v>
      </c>
      <c r="M205" s="34"/>
      <c r="N205" s="34"/>
      <c r="O205" s="34"/>
      <c r="P205" s="102"/>
      <c r="Q205" s="34"/>
      <c r="R205" s="102"/>
    </row>
    <row r="206" spans="1:18" ht="16.5" x14ac:dyDescent="0.35">
      <c r="A206" s="34" t="s">
        <v>1986</v>
      </c>
      <c r="B206" s="34" t="s">
        <v>1986</v>
      </c>
      <c r="C206" s="20" t="s">
        <v>2561</v>
      </c>
      <c r="D206" s="34">
        <v>35</v>
      </c>
      <c r="E206" s="34">
        <v>65</v>
      </c>
      <c r="F206" s="254">
        <v>0</v>
      </c>
      <c r="G206" s="174" t="s">
        <v>571</v>
      </c>
      <c r="H206" s="34" t="s">
        <v>1643</v>
      </c>
      <c r="I206" s="34">
        <v>16</v>
      </c>
      <c r="J206" s="104" t="str">
        <f>HYPERLINK("https://www.examplebusiness.com/team/mike-rogers-1","https://www.examplebusiness.com/team/mike-rogers-1")</f>
        <v>https://www.examplebusiness.com/team/mike-rogers-1</v>
      </c>
      <c r="K206" s="34" t="s">
        <v>1643</v>
      </c>
      <c r="L206" s="34" t="s">
        <v>1643</v>
      </c>
      <c r="M206" s="34"/>
      <c r="N206" s="34"/>
      <c r="O206" s="34"/>
      <c r="P206" s="102"/>
      <c r="Q206" s="34"/>
      <c r="R206" s="102"/>
    </row>
    <row r="207" spans="1:18" ht="16.5" x14ac:dyDescent="0.35">
      <c r="A207" s="34" t="s">
        <v>1986</v>
      </c>
      <c r="B207" s="34" t="s">
        <v>1987</v>
      </c>
      <c r="C207" s="20" t="s">
        <v>266</v>
      </c>
      <c r="D207" s="34">
        <v>41</v>
      </c>
      <c r="E207" s="34">
        <v>65</v>
      </c>
      <c r="F207" s="254">
        <v>11.43</v>
      </c>
      <c r="G207" s="174"/>
      <c r="H207" s="34" t="s">
        <v>1643</v>
      </c>
      <c r="I207" s="34">
        <v>25</v>
      </c>
      <c r="J207" s="104" t="str">
        <f>HYPERLINK("https://www.examplebusiness.com/resource-center/investment","https://www.examplebusiness.com/resource-center/investment")</f>
        <v>https://www.examplebusiness.com/resource-center/investment</v>
      </c>
      <c r="K207" s="34" t="s">
        <v>1643</v>
      </c>
      <c r="L207" s="34" t="s">
        <v>1643</v>
      </c>
      <c r="M207" s="34"/>
      <c r="N207" s="34"/>
      <c r="O207" s="34"/>
      <c r="P207" s="102"/>
      <c r="Q207" s="34"/>
      <c r="R207" s="102"/>
    </row>
    <row r="208" spans="1:18" ht="16.5" x14ac:dyDescent="0.35">
      <c r="A208" s="34" t="s">
        <v>1986</v>
      </c>
      <c r="B208" s="34" t="s">
        <v>1986</v>
      </c>
      <c r="C208" s="20" t="s">
        <v>267</v>
      </c>
      <c r="D208" s="34">
        <v>5</v>
      </c>
      <c r="E208" s="34">
        <v>65</v>
      </c>
      <c r="F208" s="254">
        <v>13.37</v>
      </c>
      <c r="G208" s="174" t="s">
        <v>601</v>
      </c>
      <c r="H208" s="34" t="s">
        <v>1643</v>
      </c>
      <c r="I208" s="34">
        <v>52</v>
      </c>
      <c r="J208" s="104" t="str">
        <f>HYPERLINK("https://www.examplebusiness.com/team/tom-whitnah-1","https://www.examplebusiness.com/team/tom-whitnah-1")</f>
        <v>https://www.examplebusiness.com/team/tom-whitnah-1</v>
      </c>
      <c r="K208" s="34" t="s">
        <v>1643</v>
      </c>
      <c r="L208" s="34" t="s">
        <v>1643</v>
      </c>
      <c r="M208" s="34"/>
      <c r="N208" s="34"/>
      <c r="O208" s="34"/>
      <c r="P208" s="102"/>
      <c r="Q208" s="34"/>
      <c r="R208" s="102"/>
    </row>
    <row r="209" spans="1:18" ht="16.5" x14ac:dyDescent="0.35">
      <c r="A209" s="34" t="s">
        <v>1986</v>
      </c>
      <c r="B209" s="34" t="s">
        <v>1986</v>
      </c>
      <c r="C209" s="20" t="s">
        <v>268</v>
      </c>
      <c r="D209" s="34">
        <v>2</v>
      </c>
      <c r="E209" s="34">
        <v>65</v>
      </c>
      <c r="F209" s="254">
        <v>0</v>
      </c>
      <c r="G209" s="174" t="s">
        <v>610</v>
      </c>
      <c r="H209" s="34" t="s">
        <v>1643</v>
      </c>
      <c r="I209" s="34">
        <v>65</v>
      </c>
      <c r="J209" s="104" t="str">
        <f>HYPERLINK("https://www.examplebusiness.com/blog/what-you-need-to-file-your-taxes","https://www.examplebusiness.com/blog/what-you-need-to-file-your-taxes")</f>
        <v>https://www.examplebusiness.com/blog/what-you-need-to-file-your-taxes</v>
      </c>
      <c r="K209" s="34" t="s">
        <v>1643</v>
      </c>
      <c r="L209" s="34" t="s">
        <v>1643</v>
      </c>
      <c r="M209" s="34"/>
      <c r="N209" s="34"/>
      <c r="O209" s="34"/>
      <c r="P209" s="102"/>
      <c r="Q209" s="34"/>
      <c r="R209" s="102"/>
    </row>
    <row r="210" spans="1:18" ht="16.5" x14ac:dyDescent="0.35">
      <c r="A210" s="34" t="s">
        <v>1988</v>
      </c>
      <c r="B210" s="34" t="s">
        <v>1986</v>
      </c>
      <c r="C210" s="20" t="s">
        <v>269</v>
      </c>
      <c r="D210" s="34">
        <v>5</v>
      </c>
      <c r="E210" s="34">
        <v>65</v>
      </c>
      <c r="F210" s="254">
        <v>0</v>
      </c>
      <c r="G210" s="174" t="s">
        <v>636</v>
      </c>
      <c r="H210" s="34" t="s">
        <v>1643</v>
      </c>
      <c r="I210" s="34">
        <v>69</v>
      </c>
      <c r="J210" s="104" t="str">
        <f>HYPERLINK("https://www.examplebusiness.com/resource-center/money/life-and-death-of-a-20-dollar-bill","https://www.examplebusiness.com/resource-center/money/life-and-death-of-a-20-dollar-bill")</f>
        <v>https://www.examplebusiness.com/resource-center/money/life-and-death-of-a-20-dollar-bill</v>
      </c>
      <c r="K210" s="34" t="s">
        <v>1643</v>
      </c>
      <c r="L210" s="34" t="s">
        <v>1643</v>
      </c>
      <c r="M210" s="34"/>
      <c r="N210" s="34"/>
      <c r="O210" s="34"/>
      <c r="P210" s="102"/>
      <c r="Q210" s="34"/>
      <c r="R210" s="102"/>
    </row>
    <row r="211" spans="1:18" ht="16.5" x14ac:dyDescent="0.35">
      <c r="A211" s="34" t="s">
        <v>1993</v>
      </c>
      <c r="B211" s="34" t="s">
        <v>1990</v>
      </c>
      <c r="C211" s="20" t="s">
        <v>270</v>
      </c>
      <c r="D211" s="34">
        <v>7</v>
      </c>
      <c r="E211" s="34">
        <v>65</v>
      </c>
      <c r="F211" s="254">
        <v>8.31</v>
      </c>
      <c r="G211" s="174" t="s">
        <v>638</v>
      </c>
      <c r="H211" s="34" t="s">
        <v>1643</v>
      </c>
      <c r="I211" s="34">
        <v>68</v>
      </c>
      <c r="J211" s="104" t="str">
        <f>HYPERLINK("https://www.examplebusiness.com/p/business-retirement-plan-consulting","https://www.examplebusiness.com/p/business-retirement-plan-consulting")</f>
        <v>https://www.examplebusiness.com/p/business-retirement-plan-consulting</v>
      </c>
      <c r="K211" s="34" t="s">
        <v>1643</v>
      </c>
      <c r="L211" s="34" t="s">
        <v>1643</v>
      </c>
      <c r="M211" s="34"/>
      <c r="N211" s="34"/>
      <c r="O211" s="34"/>
      <c r="P211" s="102"/>
      <c r="Q211" s="34"/>
      <c r="R211" s="102"/>
    </row>
    <row r="212" spans="1:18" ht="16.5" x14ac:dyDescent="0.35">
      <c r="A212" s="34" t="s">
        <v>1986</v>
      </c>
      <c r="B212" s="34" t="s">
        <v>1986</v>
      </c>
      <c r="C212" s="20" t="s">
        <v>271</v>
      </c>
      <c r="D212" s="34">
        <v>1</v>
      </c>
      <c r="E212" s="34">
        <v>65</v>
      </c>
      <c r="F212" s="254">
        <v>6.11</v>
      </c>
      <c r="G212" s="174" t="s">
        <v>591</v>
      </c>
      <c r="H212" s="34" t="s">
        <v>1643</v>
      </c>
      <c r="I212" s="34">
        <v>73</v>
      </c>
      <c r="J212" s="104" t="str">
        <f>HYPERLINK("https://www.examplebusiness.com/blog/abc-Example-acquires-true-north-capital-alliance","https://www.examplebusiness.com/blog/abc-Example-acquires-true-north-capital-alliance")</f>
        <v>https://www.examplebusiness.com/blog/abc-Example-acquires-true-north-capital-alliance</v>
      </c>
      <c r="K212" s="34" t="s">
        <v>1643</v>
      </c>
      <c r="L212" s="34" t="s">
        <v>1643</v>
      </c>
      <c r="M212" s="34"/>
      <c r="N212" s="34"/>
      <c r="O212" s="34"/>
      <c r="P212" s="102"/>
      <c r="Q212" s="34"/>
      <c r="R212" s="102"/>
    </row>
    <row r="213" spans="1:18" ht="16.5" x14ac:dyDescent="0.35">
      <c r="A213" s="34" t="s">
        <v>1989</v>
      </c>
      <c r="B213" s="34" t="s">
        <v>1994</v>
      </c>
      <c r="C213" s="20" t="s">
        <v>272</v>
      </c>
      <c r="D213" s="34">
        <v>41</v>
      </c>
      <c r="E213" s="34">
        <v>60</v>
      </c>
      <c r="F213" s="254">
        <v>10.045</v>
      </c>
      <c r="G213" s="174" t="s">
        <v>2016</v>
      </c>
      <c r="H213" s="34" t="s">
        <v>1992</v>
      </c>
      <c r="I213" s="34" t="s">
        <v>1992</v>
      </c>
      <c r="J213" s="20" t="s">
        <v>1992</v>
      </c>
      <c r="K213" s="34" t="s">
        <v>1992</v>
      </c>
      <c r="L213" s="34" t="s">
        <v>1992</v>
      </c>
      <c r="M213" s="34"/>
      <c r="N213" s="34"/>
      <c r="O213" s="34"/>
      <c r="P213" s="102"/>
      <c r="Q213" s="34"/>
      <c r="R213" s="102"/>
    </row>
    <row r="214" spans="1:18" ht="16.5" x14ac:dyDescent="0.35">
      <c r="A214" s="34" t="s">
        <v>1989</v>
      </c>
      <c r="B214" s="34" t="s">
        <v>1994</v>
      </c>
      <c r="C214" s="20" t="s">
        <v>273</v>
      </c>
      <c r="D214" s="34">
        <v>43</v>
      </c>
      <c r="E214" s="34">
        <v>60</v>
      </c>
      <c r="F214" s="254">
        <v>13.045</v>
      </c>
      <c r="G214" s="174" t="s">
        <v>2012</v>
      </c>
      <c r="H214" s="34" t="s">
        <v>1992</v>
      </c>
      <c r="I214" s="34" t="s">
        <v>1992</v>
      </c>
      <c r="J214" s="20" t="s">
        <v>1992</v>
      </c>
      <c r="K214" s="34" t="s">
        <v>1992</v>
      </c>
      <c r="L214" s="34" t="s">
        <v>1992</v>
      </c>
      <c r="M214" s="34"/>
      <c r="N214" s="34"/>
      <c r="O214" s="34"/>
      <c r="P214" s="102"/>
      <c r="Q214" s="34"/>
      <c r="R214" s="102"/>
    </row>
    <row r="215" spans="1:18" ht="16.5" x14ac:dyDescent="0.35">
      <c r="A215" s="34" t="s">
        <v>1989</v>
      </c>
      <c r="B215" s="34" t="s">
        <v>1994</v>
      </c>
      <c r="C215" s="20" t="s">
        <v>274</v>
      </c>
      <c r="D215" s="34">
        <v>39</v>
      </c>
      <c r="E215" s="34">
        <v>60</v>
      </c>
      <c r="F215" s="254">
        <v>16.465</v>
      </c>
      <c r="G215" s="174" t="s">
        <v>2024</v>
      </c>
      <c r="H215" s="34" t="s">
        <v>1992</v>
      </c>
      <c r="I215" s="34" t="s">
        <v>1992</v>
      </c>
      <c r="J215" s="20" t="s">
        <v>1992</v>
      </c>
      <c r="K215" s="34" t="s">
        <v>1992</v>
      </c>
      <c r="L215" s="34" t="s">
        <v>1992</v>
      </c>
      <c r="M215" s="34"/>
      <c r="N215" s="34"/>
      <c r="O215" s="34"/>
      <c r="P215" s="102"/>
      <c r="Q215" s="34"/>
      <c r="R215" s="102"/>
    </row>
    <row r="216" spans="1:18" ht="16.5" x14ac:dyDescent="0.35">
      <c r="A216" s="34" t="s">
        <v>1989</v>
      </c>
      <c r="B216" s="34" t="s">
        <v>1987</v>
      </c>
      <c r="C216" s="20" t="s">
        <v>275</v>
      </c>
      <c r="D216" s="34">
        <v>55</v>
      </c>
      <c r="E216" s="34">
        <v>60</v>
      </c>
      <c r="F216" s="254">
        <v>6.6349999999999998</v>
      </c>
      <c r="G216" s="174" t="s">
        <v>2025</v>
      </c>
      <c r="H216" s="34" t="s">
        <v>1992</v>
      </c>
      <c r="I216" s="34" t="s">
        <v>1992</v>
      </c>
      <c r="J216" s="20" t="s">
        <v>1992</v>
      </c>
      <c r="K216" s="34" t="s">
        <v>1992</v>
      </c>
      <c r="L216" s="34" t="s">
        <v>1992</v>
      </c>
      <c r="M216" s="34"/>
      <c r="N216" s="34"/>
      <c r="O216" s="34"/>
      <c r="P216" s="102"/>
      <c r="Q216" s="34"/>
      <c r="R216" s="102"/>
    </row>
    <row r="217" spans="1:18" ht="16.5" x14ac:dyDescent="0.35">
      <c r="A217" s="34" t="s">
        <v>1989</v>
      </c>
      <c r="B217" s="34" t="s">
        <v>1994</v>
      </c>
      <c r="C217" s="20" t="s">
        <v>276</v>
      </c>
      <c r="D217" s="34">
        <v>51</v>
      </c>
      <c r="E217" s="34">
        <v>60</v>
      </c>
      <c r="F217" s="254">
        <v>16.2</v>
      </c>
      <c r="G217" s="174" t="s">
        <v>1997</v>
      </c>
      <c r="H217" s="34" t="s">
        <v>1992</v>
      </c>
      <c r="I217" s="34" t="s">
        <v>1992</v>
      </c>
      <c r="J217" s="20" t="s">
        <v>1992</v>
      </c>
      <c r="K217" s="34" t="s">
        <v>1992</v>
      </c>
      <c r="L217" s="34" t="s">
        <v>1992</v>
      </c>
      <c r="M217" s="34"/>
      <c r="N217" s="34"/>
      <c r="O217" s="34"/>
      <c r="P217" s="102"/>
      <c r="Q217" s="34"/>
      <c r="R217" s="102"/>
    </row>
    <row r="218" spans="1:18" ht="16.5" x14ac:dyDescent="0.35">
      <c r="A218" s="34" t="s">
        <v>1986</v>
      </c>
      <c r="B218" s="34" t="s">
        <v>1986</v>
      </c>
      <c r="C218" s="20" t="s">
        <v>277</v>
      </c>
      <c r="D218" s="34">
        <v>54</v>
      </c>
      <c r="E218" s="34">
        <v>60</v>
      </c>
      <c r="F218" s="254" t="s">
        <v>70</v>
      </c>
      <c r="G218" s="174" t="s">
        <v>588</v>
      </c>
      <c r="H218" s="34" t="s">
        <v>1643</v>
      </c>
      <c r="I218" s="34">
        <v>30</v>
      </c>
      <c r="J218" s="104" t="str">
        <f>HYPERLINK("https://www.examplebusiness.com/blog/when-will-the-recession-officially-start","https://www.examplebusiness.com/blog/when-will-the-recession-officially-start")</f>
        <v>https://www.examplebusiness.com/blog/when-will-the-recession-officially-start</v>
      </c>
      <c r="K218" s="34" t="s">
        <v>1643</v>
      </c>
      <c r="L218" s="34" t="s">
        <v>1643</v>
      </c>
      <c r="M218" s="34"/>
      <c r="N218" s="34"/>
      <c r="O218" s="34"/>
      <c r="P218" s="102"/>
      <c r="Q218" s="34"/>
      <c r="R218" s="102"/>
    </row>
    <row r="219" spans="1:18" ht="16.5" x14ac:dyDescent="0.35">
      <c r="A219" s="34" t="s">
        <v>1986</v>
      </c>
      <c r="B219" s="34" t="s">
        <v>1986</v>
      </c>
      <c r="C219" s="20" t="s">
        <v>278</v>
      </c>
      <c r="D219" s="34">
        <v>27</v>
      </c>
      <c r="E219" s="34">
        <v>60</v>
      </c>
      <c r="F219" s="254">
        <v>3.7</v>
      </c>
      <c r="G219" s="174" t="s">
        <v>622</v>
      </c>
      <c r="H219" s="34" t="s">
        <v>1643</v>
      </c>
      <c r="I219" s="34">
        <v>60</v>
      </c>
      <c r="J219" s="104" t="str">
        <f>HYPERLINK("https://www.examplebusiness.com/p/client-community","https://www.examplebusiness.com/p/client-community")</f>
        <v>https://www.examplebusiness.com/p/client-community</v>
      </c>
      <c r="K219" s="34" t="s">
        <v>1643</v>
      </c>
      <c r="L219" s="34" t="s">
        <v>1643</v>
      </c>
      <c r="M219" s="34"/>
      <c r="N219" s="34"/>
      <c r="O219" s="34"/>
      <c r="P219" s="102"/>
      <c r="Q219" s="34"/>
      <c r="R219" s="102"/>
    </row>
    <row r="220" spans="1:18" ht="16.5" x14ac:dyDescent="0.35">
      <c r="A220" s="34" t="s">
        <v>1986</v>
      </c>
      <c r="B220" s="34" t="s">
        <v>1986</v>
      </c>
      <c r="C220" s="20" t="s">
        <v>279</v>
      </c>
      <c r="D220" s="34">
        <v>4</v>
      </c>
      <c r="E220" s="34">
        <v>60</v>
      </c>
      <c r="F220" s="254">
        <v>0</v>
      </c>
      <c r="G220" s="174" t="s">
        <v>600</v>
      </c>
      <c r="H220" s="34" t="s">
        <v>1643</v>
      </c>
      <c r="I220" s="34">
        <v>79</v>
      </c>
      <c r="J220" s="104" t="str">
        <f>HYPERLINK("https://www.examplebusiness.com/resource-center/investment/global-vs-international-whats-the-difference","https://www.examplebusiness.com/resource-center/investment/global-vs-international-whats-the-difference")</f>
        <v>https://www.examplebusiness.com/resource-center/investment/global-vs-international-whats-the-difference</v>
      </c>
      <c r="K220" s="34" t="s">
        <v>1643</v>
      </c>
      <c r="L220" s="34" t="s">
        <v>1643</v>
      </c>
      <c r="M220" s="34"/>
      <c r="N220" s="34"/>
      <c r="O220" s="34"/>
      <c r="P220" s="102"/>
      <c r="Q220" s="34"/>
      <c r="R220" s="102"/>
    </row>
    <row r="221" spans="1:18" ht="16.5" x14ac:dyDescent="0.35">
      <c r="A221" s="34" t="s">
        <v>1989</v>
      </c>
      <c r="B221" s="34" t="s">
        <v>1987</v>
      </c>
      <c r="C221" s="20" t="s">
        <v>280</v>
      </c>
      <c r="D221" s="34">
        <v>4</v>
      </c>
      <c r="E221" s="34">
        <v>55</v>
      </c>
      <c r="F221" s="254">
        <v>4</v>
      </c>
      <c r="G221" s="174" t="s">
        <v>2026</v>
      </c>
      <c r="H221" s="34" t="s">
        <v>1992</v>
      </c>
      <c r="I221" s="34" t="s">
        <v>1992</v>
      </c>
      <c r="J221" s="20" t="s">
        <v>1992</v>
      </c>
      <c r="K221" s="34" t="s">
        <v>1992</v>
      </c>
      <c r="L221" s="34" t="s">
        <v>1992</v>
      </c>
      <c r="M221" s="34"/>
      <c r="N221" s="34"/>
      <c r="O221" s="34"/>
      <c r="P221" s="102"/>
      <c r="Q221" s="34"/>
      <c r="R221" s="102"/>
    </row>
    <row r="222" spans="1:18" ht="16.5" x14ac:dyDescent="0.35">
      <c r="A222" s="34" t="s">
        <v>1989</v>
      </c>
      <c r="B222" s="34" t="s">
        <v>2001</v>
      </c>
      <c r="C222" s="20" t="s">
        <v>281</v>
      </c>
      <c r="D222" s="34">
        <v>42</v>
      </c>
      <c r="E222" s="34">
        <v>55</v>
      </c>
      <c r="F222" s="254">
        <v>19.21</v>
      </c>
      <c r="G222" s="174" t="s">
        <v>2019</v>
      </c>
      <c r="H222" s="34" t="s">
        <v>1992</v>
      </c>
      <c r="I222" s="34" t="s">
        <v>1992</v>
      </c>
      <c r="J222" s="20" t="s">
        <v>1992</v>
      </c>
      <c r="K222" s="34" t="s">
        <v>1992</v>
      </c>
      <c r="L222" s="34" t="s">
        <v>1992</v>
      </c>
      <c r="M222" s="34"/>
      <c r="N222" s="34"/>
      <c r="O222" s="34"/>
      <c r="P222" s="102"/>
      <c r="Q222" s="34"/>
      <c r="R222" s="102"/>
    </row>
    <row r="223" spans="1:18" ht="16.5" x14ac:dyDescent="0.35">
      <c r="A223" s="34" t="s">
        <v>1986</v>
      </c>
      <c r="B223" s="34" t="s">
        <v>1986</v>
      </c>
      <c r="C223" s="20" t="s">
        <v>282</v>
      </c>
      <c r="D223" s="34">
        <v>52</v>
      </c>
      <c r="E223" s="34">
        <v>55</v>
      </c>
      <c r="F223" s="254">
        <v>0</v>
      </c>
      <c r="G223" s="174" t="s">
        <v>586</v>
      </c>
      <c r="H223" s="34" t="s">
        <v>1643</v>
      </c>
      <c r="I223" s="34">
        <v>22</v>
      </c>
      <c r="J223" s="104" t="str">
        <f>HYPERLINK("http://www.examplebusiness.com/smart-401k-management/","http://www.examplebusiness.com/smart-401k-management/")</f>
        <v>http://www.examplebusiness.com/smart-401k-management/</v>
      </c>
      <c r="K223" s="34" t="s">
        <v>1643</v>
      </c>
      <c r="L223" s="34" t="s">
        <v>1643</v>
      </c>
      <c r="M223" s="34"/>
      <c r="N223" s="34"/>
      <c r="O223" s="34"/>
      <c r="P223" s="102"/>
      <c r="Q223" s="34"/>
      <c r="R223" s="102"/>
    </row>
    <row r="224" spans="1:18" ht="16.5" x14ac:dyDescent="0.35">
      <c r="A224" s="34" t="s">
        <v>1986</v>
      </c>
      <c r="B224" s="34" t="s">
        <v>1986</v>
      </c>
      <c r="C224" s="20" t="s">
        <v>283</v>
      </c>
      <c r="D224" s="34">
        <v>48</v>
      </c>
      <c r="E224" s="34">
        <v>55</v>
      </c>
      <c r="F224" s="254">
        <v>0</v>
      </c>
      <c r="G224" s="174" t="s">
        <v>615</v>
      </c>
      <c r="H224" s="34" t="s">
        <v>1643</v>
      </c>
      <c r="I224" s="34">
        <v>50</v>
      </c>
      <c r="J224" s="104" t="str">
        <f>HYPERLINK("http://www.examplebusiness.com/resource-center/lifestyle/lots-of-variables-with-fixed-rate-mortgages","http://www.examplebusiness.com/resource-center/lifestyle/lots-of-variables-with-fixed-rate-mortgages")</f>
        <v>http://www.examplebusiness.com/resource-center/lifestyle/lots-of-variables-with-fixed-rate-mortgages</v>
      </c>
      <c r="K224" s="34" t="s">
        <v>1643</v>
      </c>
      <c r="L224" s="34" t="s">
        <v>1643</v>
      </c>
      <c r="M224" s="34"/>
      <c r="N224" s="34"/>
      <c r="O224" s="34"/>
      <c r="P224" s="102"/>
      <c r="Q224" s="34"/>
      <c r="R224" s="102"/>
    </row>
    <row r="225" spans="1:18" ht="16.5" x14ac:dyDescent="0.35">
      <c r="A225" s="34" t="s">
        <v>1986</v>
      </c>
      <c r="B225" s="34" t="s">
        <v>1986</v>
      </c>
      <c r="C225" s="20" t="s">
        <v>284</v>
      </c>
      <c r="D225" s="34">
        <v>0</v>
      </c>
      <c r="E225" s="34">
        <v>55</v>
      </c>
      <c r="F225" s="254">
        <v>0</v>
      </c>
      <c r="G225" s="174" t="s">
        <v>610</v>
      </c>
      <c r="H225" s="34" t="s">
        <v>1643</v>
      </c>
      <c r="I225" s="34">
        <v>60</v>
      </c>
      <c r="J225" s="104" t="str">
        <f>HYPERLINK("https://www.examplebusiness.com/team/nick-andresen-1","https://www.examplebusiness.com/team/nick-andresen-1")</f>
        <v>https://www.examplebusiness.com/team/nick-andresen-1</v>
      </c>
      <c r="K225" s="34" t="s">
        <v>1643</v>
      </c>
      <c r="L225" s="34" t="s">
        <v>1643</v>
      </c>
      <c r="M225" s="34"/>
      <c r="N225" s="34"/>
      <c r="O225" s="34"/>
      <c r="P225" s="102"/>
      <c r="Q225" s="34"/>
      <c r="R225" s="102"/>
    </row>
    <row r="226" spans="1:18" ht="16.5" x14ac:dyDescent="0.35">
      <c r="A226" s="34" t="s">
        <v>1993</v>
      </c>
      <c r="B226" s="34" t="s">
        <v>1986</v>
      </c>
      <c r="C226" s="20" t="s">
        <v>285</v>
      </c>
      <c r="D226" s="34">
        <v>26</v>
      </c>
      <c r="E226" s="34">
        <v>55</v>
      </c>
      <c r="F226" s="254">
        <v>9.9</v>
      </c>
      <c r="G226" s="174" t="s">
        <v>631</v>
      </c>
      <c r="H226" s="34" t="s">
        <v>1643</v>
      </c>
      <c r="I226" s="34">
        <v>69</v>
      </c>
      <c r="J226" s="104" t="str">
        <f>HYPERLINK("https://www.examplebusiness.com/resource-center/investment/rebalancing-your-portfolio","https://www.examplebusiness.com/resource-center/investment/rebalancing-your-portfolio")</f>
        <v>https://www.examplebusiness.com/resource-center/investment/rebalancing-your-portfolio</v>
      </c>
      <c r="K226" s="34" t="s">
        <v>1643</v>
      </c>
      <c r="L226" s="34" t="s">
        <v>1643</v>
      </c>
      <c r="M226" s="34"/>
      <c r="N226" s="34"/>
      <c r="O226" s="34"/>
      <c r="P226" s="102"/>
      <c r="Q226" s="34"/>
      <c r="R226" s="102"/>
    </row>
    <row r="227" spans="1:18" ht="16.5" x14ac:dyDescent="0.35">
      <c r="A227" s="34" t="s">
        <v>1986</v>
      </c>
      <c r="B227" s="34" t="s">
        <v>1986</v>
      </c>
      <c r="C227" s="20" t="s">
        <v>286</v>
      </c>
      <c r="D227" s="34">
        <v>54</v>
      </c>
      <c r="E227" s="34">
        <v>55</v>
      </c>
      <c r="F227" s="254">
        <v>0</v>
      </c>
      <c r="G227" s="174" t="s">
        <v>603</v>
      </c>
      <c r="H227" s="34" t="s">
        <v>1643</v>
      </c>
      <c r="I227" s="34">
        <v>93</v>
      </c>
      <c r="J227" s="104" t="str">
        <f>HYPERLINK("https://www.examplebusiness.com/resource-center/lifestyle/should-you-choose-a-fixed-or-variable","https://www.examplebusiness.com/resource-center/lifestyle/should-you-choose-a-fixed-or-variable")</f>
        <v>https://www.examplebusiness.com/resource-center/lifestyle/should-you-choose-a-fixed-or-variable</v>
      </c>
      <c r="K227" s="34" t="s">
        <v>1643</v>
      </c>
      <c r="L227" s="34" t="s">
        <v>1643</v>
      </c>
      <c r="M227" s="34"/>
      <c r="N227" s="34"/>
      <c r="O227" s="34"/>
      <c r="P227" s="102"/>
      <c r="Q227" s="34"/>
      <c r="R227" s="102"/>
    </row>
    <row r="228" spans="1:18" ht="16.5" x14ac:dyDescent="0.35">
      <c r="A228" s="34" t="s">
        <v>1986</v>
      </c>
      <c r="B228" s="34" t="s">
        <v>1986</v>
      </c>
      <c r="C228" s="20" t="s">
        <v>287</v>
      </c>
      <c r="D228" s="34">
        <v>4</v>
      </c>
      <c r="E228" s="34">
        <v>55</v>
      </c>
      <c r="F228" s="254">
        <v>6.6</v>
      </c>
      <c r="G228" s="174" t="s">
        <v>670</v>
      </c>
      <c r="H228" s="34" t="s">
        <v>1643</v>
      </c>
      <c r="I228" s="34">
        <v>97</v>
      </c>
      <c r="J228" s="104" t="str">
        <f>HYPERLINK("https://www.examplebusiness.com/","https://www.examplebusiness.com/")</f>
        <v>https://www.examplebusiness.com/</v>
      </c>
      <c r="K228" s="34" t="s">
        <v>1643</v>
      </c>
      <c r="L228" s="34" t="s">
        <v>1643</v>
      </c>
      <c r="M228" s="34"/>
      <c r="N228" s="34"/>
      <c r="O228" s="34"/>
      <c r="P228" s="102"/>
      <c r="Q228" s="34"/>
      <c r="R228" s="102"/>
    </row>
    <row r="229" spans="1:18" ht="16.5" x14ac:dyDescent="0.35">
      <c r="A229" s="34" t="s">
        <v>1993</v>
      </c>
      <c r="B229" s="34" t="s">
        <v>1986</v>
      </c>
      <c r="C229" s="20" t="s">
        <v>288</v>
      </c>
      <c r="D229" s="34">
        <v>2</v>
      </c>
      <c r="E229" s="34">
        <v>55</v>
      </c>
      <c r="F229" s="254">
        <v>0</v>
      </c>
      <c r="G229" s="174" t="s">
        <v>610</v>
      </c>
      <c r="H229" s="34" t="s">
        <v>1643</v>
      </c>
      <c r="I229" s="34">
        <v>37</v>
      </c>
      <c r="J229" s="104" t="str">
        <f>HYPERLINK("https://www.examplebusiness.com/resource-center/investment/inflation-and-your-portfolio","https://www.examplebusiness.com/resource-center/investment/inflation-and-your-portfolio")</f>
        <v>https://www.examplebusiness.com/resource-center/investment/inflation-and-your-portfolio</v>
      </c>
      <c r="K229" s="34" t="s">
        <v>1643</v>
      </c>
      <c r="L229" s="34" t="s">
        <v>1643</v>
      </c>
      <c r="M229" s="34"/>
      <c r="N229" s="34"/>
      <c r="O229" s="34"/>
      <c r="P229" s="102"/>
      <c r="Q229" s="34"/>
      <c r="R229" s="102"/>
    </row>
    <row r="230" spans="1:18" ht="16.5" x14ac:dyDescent="0.35">
      <c r="A230" s="34" t="s">
        <v>1989</v>
      </c>
      <c r="B230" s="34" t="s">
        <v>1987</v>
      </c>
      <c r="C230" s="20" t="s">
        <v>289</v>
      </c>
      <c r="D230" s="34">
        <v>31</v>
      </c>
      <c r="E230" s="34">
        <v>50</v>
      </c>
      <c r="F230" s="254">
        <v>0</v>
      </c>
      <c r="G230" s="174" t="s">
        <v>2027</v>
      </c>
      <c r="H230" s="34" t="s">
        <v>1992</v>
      </c>
      <c r="I230" s="34" t="s">
        <v>1992</v>
      </c>
      <c r="J230" s="20" t="s">
        <v>1992</v>
      </c>
      <c r="K230" s="34" t="s">
        <v>1992</v>
      </c>
      <c r="L230" s="34" t="s">
        <v>1992</v>
      </c>
      <c r="M230" s="34"/>
      <c r="N230" s="34"/>
      <c r="O230" s="34"/>
      <c r="P230" s="102"/>
      <c r="Q230" s="34"/>
      <c r="R230" s="102"/>
    </row>
    <row r="231" spans="1:18" ht="16.5" x14ac:dyDescent="0.35">
      <c r="A231" s="34" t="s">
        <v>1989</v>
      </c>
      <c r="B231" s="34" t="s">
        <v>1994</v>
      </c>
      <c r="C231" s="20" t="s">
        <v>290</v>
      </c>
      <c r="D231" s="34"/>
      <c r="E231" s="34">
        <v>50</v>
      </c>
      <c r="F231" s="254">
        <v>23.14</v>
      </c>
      <c r="G231" s="174"/>
      <c r="H231" s="34" t="s">
        <v>1992</v>
      </c>
      <c r="I231" s="34" t="s">
        <v>1992</v>
      </c>
      <c r="J231" s="20" t="s">
        <v>1992</v>
      </c>
      <c r="K231" s="34" t="s">
        <v>1992</v>
      </c>
      <c r="L231" s="34" t="s">
        <v>1992</v>
      </c>
      <c r="M231" s="34"/>
      <c r="N231" s="34"/>
      <c r="O231" s="34"/>
      <c r="P231" s="102"/>
      <c r="Q231" s="34"/>
      <c r="R231" s="102"/>
    </row>
    <row r="232" spans="1:18" ht="16.5" x14ac:dyDescent="0.35">
      <c r="A232" s="34" t="s">
        <v>1989</v>
      </c>
      <c r="B232" s="34" t="s">
        <v>1994</v>
      </c>
      <c r="C232" s="20" t="s">
        <v>291</v>
      </c>
      <c r="D232" s="34"/>
      <c r="E232" s="34">
        <v>50</v>
      </c>
      <c r="F232" s="254">
        <v>20.34</v>
      </c>
      <c r="G232" s="174"/>
      <c r="H232" s="34" t="s">
        <v>1992</v>
      </c>
      <c r="I232" s="34" t="s">
        <v>1992</v>
      </c>
      <c r="J232" s="20" t="s">
        <v>1992</v>
      </c>
      <c r="K232" s="34" t="s">
        <v>1992</v>
      </c>
      <c r="L232" s="34" t="s">
        <v>1992</v>
      </c>
      <c r="M232" s="34"/>
      <c r="N232" s="34"/>
      <c r="O232" s="34"/>
      <c r="P232" s="102"/>
      <c r="Q232" s="34"/>
      <c r="R232" s="102"/>
    </row>
    <row r="233" spans="1:18" ht="16.5" x14ac:dyDescent="0.35">
      <c r="A233" s="34" t="s">
        <v>1989</v>
      </c>
      <c r="B233" s="34" t="s">
        <v>1994</v>
      </c>
      <c r="C233" s="20" t="s">
        <v>292</v>
      </c>
      <c r="D233" s="34"/>
      <c r="E233" s="34">
        <v>50</v>
      </c>
      <c r="F233" s="254">
        <v>9.67</v>
      </c>
      <c r="G233" s="174"/>
      <c r="H233" s="34" t="s">
        <v>1992</v>
      </c>
      <c r="I233" s="34" t="s">
        <v>1992</v>
      </c>
      <c r="J233" s="20" t="s">
        <v>1992</v>
      </c>
      <c r="K233" s="34" t="s">
        <v>1992</v>
      </c>
      <c r="L233" s="34" t="s">
        <v>1992</v>
      </c>
      <c r="M233" s="34"/>
      <c r="N233" s="34"/>
      <c r="O233" s="34"/>
      <c r="P233" s="102"/>
      <c r="Q233" s="34"/>
      <c r="R233" s="102"/>
    </row>
    <row r="234" spans="1:18" ht="16.5" x14ac:dyDescent="0.35">
      <c r="A234" s="34" t="s">
        <v>1989</v>
      </c>
      <c r="B234" s="34" t="s">
        <v>1994</v>
      </c>
      <c r="C234" s="20" t="s">
        <v>293</v>
      </c>
      <c r="D234" s="34"/>
      <c r="E234" s="34">
        <v>50</v>
      </c>
      <c r="F234" s="254">
        <v>18.170000000000002</v>
      </c>
      <c r="G234" s="174"/>
      <c r="H234" s="34" t="s">
        <v>1992</v>
      </c>
      <c r="I234" s="34" t="s">
        <v>1992</v>
      </c>
      <c r="J234" s="20" t="s">
        <v>1992</v>
      </c>
      <c r="K234" s="34" t="s">
        <v>1992</v>
      </c>
      <c r="L234" s="34" t="s">
        <v>1992</v>
      </c>
      <c r="M234" s="34"/>
      <c r="N234" s="34"/>
      <c r="O234" s="34"/>
      <c r="P234" s="102"/>
      <c r="Q234" s="34"/>
      <c r="R234" s="102"/>
    </row>
    <row r="235" spans="1:18" ht="16.5" x14ac:dyDescent="0.35">
      <c r="A235" s="34" t="s">
        <v>1986</v>
      </c>
      <c r="B235" s="34" t="s">
        <v>1986</v>
      </c>
      <c r="C235" s="20" t="s">
        <v>294</v>
      </c>
      <c r="D235" s="34">
        <v>0</v>
      </c>
      <c r="E235" s="34">
        <v>50</v>
      </c>
      <c r="F235" s="254">
        <v>0</v>
      </c>
      <c r="G235" s="174" t="s">
        <v>585</v>
      </c>
      <c r="H235" s="34" t="s">
        <v>1643</v>
      </c>
      <c r="I235" s="34">
        <v>20</v>
      </c>
      <c r="J235" s="104" t="str">
        <f>HYPERLINK("https://www.examplebusiness.com/p/client-community","https://www.examplebusiness.com/p/client-community")</f>
        <v>https://www.examplebusiness.com/p/client-community</v>
      </c>
      <c r="K235" s="34" t="s">
        <v>1643</v>
      </c>
      <c r="L235" s="34" t="s">
        <v>1643</v>
      </c>
      <c r="M235" s="34"/>
      <c r="N235" s="34"/>
      <c r="O235" s="34"/>
      <c r="P235" s="102"/>
      <c r="Q235" s="34"/>
      <c r="R235" s="102"/>
    </row>
    <row r="236" spans="1:18" ht="16.5" x14ac:dyDescent="0.35">
      <c r="A236" s="34" t="s">
        <v>1986</v>
      </c>
      <c r="B236" s="34" t="s">
        <v>1986</v>
      </c>
      <c r="C236" s="20" t="s">
        <v>2562</v>
      </c>
      <c r="D236" s="34">
        <v>7</v>
      </c>
      <c r="E236" s="34">
        <v>50</v>
      </c>
      <c r="F236" s="254">
        <v>0</v>
      </c>
      <c r="G236" s="174" t="s">
        <v>572</v>
      </c>
      <c r="H236" s="34" t="s">
        <v>1643</v>
      </c>
      <c r="I236" s="34">
        <v>27</v>
      </c>
      <c r="J236" s="104" t="str">
        <f>HYPERLINK("https://www.examplebusiness.com/team/mike-rogers","https://www.examplebusiness.com/team/mike-rogers")</f>
        <v>https://www.examplebusiness.com/team/mike-rogers</v>
      </c>
      <c r="K236" s="34" t="s">
        <v>1643</v>
      </c>
      <c r="L236" s="34" t="s">
        <v>1643</v>
      </c>
      <c r="M236" s="34"/>
      <c r="N236" s="34"/>
      <c r="O236" s="34"/>
      <c r="P236" s="102"/>
      <c r="Q236" s="34"/>
      <c r="R236" s="102"/>
    </row>
    <row r="237" spans="1:18" ht="16.5" x14ac:dyDescent="0.35">
      <c r="A237" s="34" t="s">
        <v>1986</v>
      </c>
      <c r="B237" s="34" t="s">
        <v>1986</v>
      </c>
      <c r="C237" s="20" t="s">
        <v>296</v>
      </c>
      <c r="D237" s="34">
        <v>0</v>
      </c>
      <c r="E237" s="34">
        <v>50</v>
      </c>
      <c r="F237" s="254">
        <v>0</v>
      </c>
      <c r="G237" s="174" t="s">
        <v>571</v>
      </c>
      <c r="H237" s="34" t="s">
        <v>1643</v>
      </c>
      <c r="I237" s="34">
        <v>42</v>
      </c>
      <c r="J237" s="104" t="str">
        <f>HYPERLINK("https://www.examplebusiness.com/","https://www.examplebusiness.com/")</f>
        <v>https://www.examplebusiness.com/</v>
      </c>
      <c r="K237" s="34" t="s">
        <v>1643</v>
      </c>
      <c r="L237" s="34" t="s">
        <v>1643</v>
      </c>
      <c r="M237" s="34"/>
      <c r="N237" s="34"/>
      <c r="O237" s="34"/>
      <c r="P237" s="102"/>
      <c r="Q237" s="34"/>
      <c r="R237" s="102"/>
    </row>
    <row r="238" spans="1:18" ht="16.5" x14ac:dyDescent="0.35">
      <c r="A238" s="34" t="s">
        <v>1986</v>
      </c>
      <c r="B238" s="34" t="s">
        <v>1986</v>
      </c>
      <c r="C238" s="20" t="s">
        <v>2534</v>
      </c>
      <c r="D238" s="34">
        <v>4</v>
      </c>
      <c r="E238" s="34">
        <v>50</v>
      </c>
      <c r="F238" s="254">
        <v>0</v>
      </c>
      <c r="G238" s="174" t="s">
        <v>631</v>
      </c>
      <c r="H238" s="34" t="s">
        <v>1643</v>
      </c>
      <c r="I238" s="34">
        <v>65</v>
      </c>
      <c r="J238" s="104" t="str">
        <f>HYPERLINK("https://www.examplebusiness.com/","https://www.examplebusiness.com/")</f>
        <v>https://www.examplebusiness.com/</v>
      </c>
      <c r="K238" s="34" t="s">
        <v>1643</v>
      </c>
      <c r="L238" s="34" t="s">
        <v>1643</v>
      </c>
      <c r="M238" s="34"/>
      <c r="N238" s="34"/>
      <c r="O238" s="34"/>
      <c r="P238" s="102"/>
      <c r="Q238" s="34"/>
      <c r="R238" s="102"/>
    </row>
    <row r="239" spans="1:18" ht="16.5" x14ac:dyDescent="0.35">
      <c r="A239" s="34" t="s">
        <v>1986</v>
      </c>
      <c r="B239" s="34" t="s">
        <v>1986</v>
      </c>
      <c r="C239" s="255" t="s">
        <v>298</v>
      </c>
      <c r="D239" s="34">
        <v>62</v>
      </c>
      <c r="E239" s="34">
        <v>50</v>
      </c>
      <c r="F239" s="254" t="s">
        <v>70</v>
      </c>
      <c r="G239" s="174" t="s">
        <v>572</v>
      </c>
      <c r="H239" s="34" t="s">
        <v>1643</v>
      </c>
      <c r="I239" s="34">
        <v>76</v>
      </c>
      <c r="J239" s="104" t="str">
        <f>HYPERLINK("https://www.examplebusiness.com/","https://www.examplebusiness.com/")</f>
        <v>https://www.examplebusiness.com/</v>
      </c>
      <c r="K239" s="34" t="s">
        <v>1643</v>
      </c>
      <c r="L239" s="34" t="s">
        <v>1643</v>
      </c>
      <c r="M239" s="34"/>
      <c r="N239" s="34"/>
      <c r="O239" s="34"/>
      <c r="P239" s="102"/>
      <c r="Q239" s="34"/>
      <c r="R239" s="102"/>
    </row>
    <row r="240" spans="1:18" ht="16.5" x14ac:dyDescent="0.35">
      <c r="A240" s="34" t="s">
        <v>1986</v>
      </c>
      <c r="B240" s="34" t="s">
        <v>1986</v>
      </c>
      <c r="C240" s="20" t="s">
        <v>299</v>
      </c>
      <c r="D240" s="34">
        <v>76</v>
      </c>
      <c r="E240" s="34">
        <v>50</v>
      </c>
      <c r="F240" s="254">
        <v>0</v>
      </c>
      <c r="G240" s="174" t="s">
        <v>591</v>
      </c>
      <c r="H240" s="34" t="s">
        <v>1643</v>
      </c>
      <c r="I240" s="34">
        <v>89</v>
      </c>
      <c r="J240" s="104" t="str">
        <f>HYPERLINK("https://www.examplebusiness.com/","https://www.examplebusiness.com/")</f>
        <v>https://www.examplebusiness.com/</v>
      </c>
      <c r="K240" s="34" t="s">
        <v>1643</v>
      </c>
      <c r="L240" s="34" t="s">
        <v>1643</v>
      </c>
      <c r="M240" s="34"/>
      <c r="N240" s="34"/>
      <c r="O240" s="34"/>
      <c r="P240" s="102"/>
      <c r="Q240" s="34"/>
      <c r="R240" s="102"/>
    </row>
    <row r="241" spans="1:18" ht="16.5" x14ac:dyDescent="0.35">
      <c r="A241" s="34" t="s">
        <v>1989</v>
      </c>
      <c r="B241" s="34" t="s">
        <v>1994</v>
      </c>
      <c r="C241" s="20" t="s">
        <v>300</v>
      </c>
      <c r="D241" s="34">
        <v>30</v>
      </c>
      <c r="E241" s="34">
        <v>45</v>
      </c>
      <c r="F241" s="254">
        <v>21.02</v>
      </c>
      <c r="G241" s="174" t="s">
        <v>2028</v>
      </c>
      <c r="H241" s="34" t="s">
        <v>1992</v>
      </c>
      <c r="I241" s="34" t="s">
        <v>1992</v>
      </c>
      <c r="J241" s="20" t="s">
        <v>1992</v>
      </c>
      <c r="K241" s="34" t="s">
        <v>1992</v>
      </c>
      <c r="L241" s="34" t="s">
        <v>1992</v>
      </c>
      <c r="M241" s="34"/>
      <c r="N241" s="34"/>
      <c r="O241" s="34"/>
      <c r="P241" s="102"/>
      <c r="Q241" s="34"/>
      <c r="R241" s="102"/>
    </row>
    <row r="242" spans="1:18" ht="16.5" x14ac:dyDescent="0.35">
      <c r="A242" s="34" t="s">
        <v>1989</v>
      </c>
      <c r="B242" s="34" t="s">
        <v>1987</v>
      </c>
      <c r="C242" s="20" t="s">
        <v>301</v>
      </c>
      <c r="D242" s="34">
        <v>48</v>
      </c>
      <c r="E242" s="34">
        <v>45</v>
      </c>
      <c r="F242" s="254">
        <v>10.074999999999999</v>
      </c>
      <c r="G242" s="174" t="s">
        <v>2029</v>
      </c>
      <c r="H242" s="34" t="s">
        <v>1992</v>
      </c>
      <c r="I242" s="34" t="s">
        <v>1992</v>
      </c>
      <c r="J242" s="20" t="s">
        <v>1992</v>
      </c>
      <c r="K242" s="34" t="s">
        <v>1992</v>
      </c>
      <c r="L242" s="34" t="s">
        <v>1992</v>
      </c>
      <c r="M242" s="34"/>
      <c r="N242" s="34"/>
      <c r="O242" s="34"/>
      <c r="P242" s="102"/>
      <c r="Q242" s="34"/>
      <c r="R242" s="102"/>
    </row>
    <row r="243" spans="1:18" ht="16.5" x14ac:dyDescent="0.35">
      <c r="A243" s="34" t="s">
        <v>1989</v>
      </c>
      <c r="B243" s="34" t="s">
        <v>1990</v>
      </c>
      <c r="C243" s="20" t="s">
        <v>302</v>
      </c>
      <c r="D243" s="34">
        <v>77</v>
      </c>
      <c r="E243" s="34">
        <v>45</v>
      </c>
      <c r="F243" s="254">
        <v>5.7050000000000001</v>
      </c>
      <c r="G243" s="174" t="s">
        <v>2002</v>
      </c>
      <c r="H243" s="34" t="s">
        <v>1992</v>
      </c>
      <c r="I243" s="34" t="s">
        <v>1992</v>
      </c>
      <c r="J243" s="20" t="s">
        <v>1992</v>
      </c>
      <c r="K243" s="34" t="s">
        <v>1992</v>
      </c>
      <c r="L243" s="34" t="s">
        <v>1992</v>
      </c>
      <c r="M243" s="34"/>
      <c r="N243" s="34"/>
      <c r="O243" s="34"/>
      <c r="P243" s="102"/>
      <c r="Q243" s="34"/>
      <c r="R243" s="102"/>
    </row>
    <row r="244" spans="1:18" ht="16.5" x14ac:dyDescent="0.35">
      <c r="A244" s="34" t="s">
        <v>1989</v>
      </c>
      <c r="B244" s="34" t="s">
        <v>1994</v>
      </c>
      <c r="C244" s="20" t="s">
        <v>303</v>
      </c>
      <c r="D244" s="34">
        <v>43</v>
      </c>
      <c r="E244" s="34">
        <v>45</v>
      </c>
      <c r="F244" s="254">
        <v>26.73</v>
      </c>
      <c r="G244" s="174" t="s">
        <v>2002</v>
      </c>
      <c r="H244" s="34" t="s">
        <v>1992</v>
      </c>
      <c r="I244" s="34" t="s">
        <v>1992</v>
      </c>
      <c r="J244" s="20" t="s">
        <v>1992</v>
      </c>
      <c r="K244" s="34" t="s">
        <v>1992</v>
      </c>
      <c r="L244" s="34" t="s">
        <v>1992</v>
      </c>
      <c r="M244" s="34"/>
      <c r="N244" s="34"/>
      <c r="O244" s="34"/>
      <c r="P244" s="102"/>
      <c r="Q244" s="34"/>
      <c r="R244" s="102"/>
    </row>
    <row r="245" spans="1:18" ht="16.5" x14ac:dyDescent="0.35">
      <c r="A245" s="34" t="s">
        <v>1989</v>
      </c>
      <c r="B245" s="34" t="s">
        <v>1994</v>
      </c>
      <c r="C245" s="20" t="s">
        <v>304</v>
      </c>
      <c r="D245" s="34">
        <v>25</v>
      </c>
      <c r="E245" s="34">
        <v>45</v>
      </c>
      <c r="F245" s="254">
        <v>16.39</v>
      </c>
      <c r="G245" s="174" t="s">
        <v>2019</v>
      </c>
      <c r="H245" s="34" t="s">
        <v>1992</v>
      </c>
      <c r="I245" s="34" t="s">
        <v>1992</v>
      </c>
      <c r="J245" s="20" t="s">
        <v>1992</v>
      </c>
      <c r="K245" s="34" t="s">
        <v>1992</v>
      </c>
      <c r="L245" s="34" t="s">
        <v>1992</v>
      </c>
      <c r="M245" s="34"/>
      <c r="N245" s="34"/>
      <c r="O245" s="34"/>
      <c r="P245" s="102"/>
      <c r="Q245" s="34"/>
      <c r="R245" s="102"/>
    </row>
    <row r="246" spans="1:18" ht="16.5" x14ac:dyDescent="0.35">
      <c r="A246" s="34" t="s">
        <v>1993</v>
      </c>
      <c r="B246" s="34" t="s">
        <v>1994</v>
      </c>
      <c r="C246" s="20" t="s">
        <v>305</v>
      </c>
      <c r="D246" s="34">
        <v>30</v>
      </c>
      <c r="E246" s="34">
        <v>45</v>
      </c>
      <c r="F246" s="254">
        <v>14.535</v>
      </c>
      <c r="G246" s="174" t="s">
        <v>572</v>
      </c>
      <c r="H246" s="34" t="s">
        <v>1992</v>
      </c>
      <c r="I246" s="34" t="s">
        <v>1992</v>
      </c>
      <c r="J246" s="20" t="s">
        <v>1992</v>
      </c>
      <c r="K246" s="34" t="s">
        <v>1992</v>
      </c>
      <c r="L246" s="34" t="s">
        <v>1992</v>
      </c>
      <c r="M246" s="34"/>
      <c r="N246" s="34"/>
      <c r="O246" s="34"/>
      <c r="P246" s="102"/>
      <c r="Q246" s="34"/>
      <c r="R246" s="102"/>
    </row>
    <row r="247" spans="1:18" ht="16.5" x14ac:dyDescent="0.35">
      <c r="A247" s="34" t="s">
        <v>1986</v>
      </c>
      <c r="B247" s="34" t="s">
        <v>1986</v>
      </c>
      <c r="C247" s="20" t="s">
        <v>306</v>
      </c>
      <c r="D247" s="34">
        <v>78</v>
      </c>
      <c r="E247" s="34">
        <v>45</v>
      </c>
      <c r="F247" s="254">
        <v>0</v>
      </c>
      <c r="G247" s="174" t="s">
        <v>591</v>
      </c>
      <c r="H247" s="34" t="s">
        <v>1643</v>
      </c>
      <c r="I247" s="34">
        <v>30</v>
      </c>
      <c r="J247" s="104" t="str">
        <f>HYPERLINK("https://www.examplebusiness.com/resource-center/investment/can-election-results-predict-the-market","https://www.examplebusiness.com/resource-center/investment/can-election-results-predict-the-market")</f>
        <v>https://www.examplebusiness.com/resource-center/investment/can-election-results-predict-the-market</v>
      </c>
      <c r="K247" s="34" t="s">
        <v>1643</v>
      </c>
      <c r="L247" s="34" t="s">
        <v>1643</v>
      </c>
      <c r="M247" s="34"/>
      <c r="N247" s="34"/>
      <c r="O247" s="34"/>
      <c r="P247" s="102"/>
      <c r="Q247" s="34"/>
      <c r="R247" s="102"/>
    </row>
    <row r="248" spans="1:18" ht="16.5" x14ac:dyDescent="0.35">
      <c r="A248" s="34" t="s">
        <v>1993</v>
      </c>
      <c r="B248" s="34" t="s">
        <v>1990</v>
      </c>
      <c r="C248" s="20" t="s">
        <v>307</v>
      </c>
      <c r="D248" s="34">
        <v>2</v>
      </c>
      <c r="E248" s="34">
        <v>45</v>
      </c>
      <c r="F248" s="254">
        <v>0</v>
      </c>
      <c r="G248" s="174" t="s">
        <v>570</v>
      </c>
      <c r="H248" s="34" t="s">
        <v>1643</v>
      </c>
      <c r="I248" s="34">
        <v>57</v>
      </c>
      <c r="J248" s="104" t="str">
        <f>HYPERLINK("https://www.examplebusiness.com/","https://www.examplebusiness.com/")</f>
        <v>https://www.examplebusiness.com/</v>
      </c>
      <c r="K248" s="34" t="s">
        <v>1643</v>
      </c>
      <c r="L248" s="34" t="s">
        <v>1643</v>
      </c>
      <c r="M248" s="34"/>
      <c r="N248" s="34"/>
      <c r="O248" s="34"/>
      <c r="P248" s="102"/>
      <c r="Q248" s="34"/>
      <c r="R248" s="102"/>
    </row>
    <row r="249" spans="1:18" ht="16.5" x14ac:dyDescent="0.35">
      <c r="A249" s="34" t="s">
        <v>1986</v>
      </c>
      <c r="B249" s="34" t="s">
        <v>1986</v>
      </c>
      <c r="C249" s="20" t="s">
        <v>308</v>
      </c>
      <c r="D249" s="34">
        <v>0</v>
      </c>
      <c r="E249" s="34">
        <v>45</v>
      </c>
      <c r="F249" s="254">
        <v>0</v>
      </c>
      <c r="G249" s="174" t="s">
        <v>625</v>
      </c>
      <c r="H249" s="34" t="s">
        <v>1643</v>
      </c>
      <c r="I249" s="34">
        <v>63</v>
      </c>
      <c r="J249" s="104" t="str">
        <f>HYPERLINK("https://www.examplebusiness.com/resource-center/insurance/keep-your-umbrella-handy","https://www.examplebusiness.com/resource-center/insurance/keep-your-umbrella-handy")</f>
        <v>https://www.examplebusiness.com/resource-center/insurance/keep-your-umbrella-handy</v>
      </c>
      <c r="K249" s="34" t="s">
        <v>1643</v>
      </c>
      <c r="L249" s="34" t="s">
        <v>1643</v>
      </c>
      <c r="M249" s="34"/>
      <c r="N249" s="34"/>
      <c r="O249" s="34"/>
      <c r="P249" s="102"/>
      <c r="Q249" s="34"/>
      <c r="R249" s="102"/>
    </row>
    <row r="250" spans="1:18" ht="16.5" x14ac:dyDescent="0.35">
      <c r="A250" s="34" t="s">
        <v>1986</v>
      </c>
      <c r="B250" s="34" t="s">
        <v>1986</v>
      </c>
      <c r="C250" s="20" t="s">
        <v>309</v>
      </c>
      <c r="D250" s="34">
        <v>35</v>
      </c>
      <c r="E250" s="34">
        <v>45</v>
      </c>
      <c r="F250" s="254">
        <v>21.28</v>
      </c>
      <c r="G250" s="174" t="s">
        <v>628</v>
      </c>
      <c r="H250" s="34" t="s">
        <v>1643</v>
      </c>
      <c r="I250" s="34">
        <v>62</v>
      </c>
      <c r="J250" s="104" t="str">
        <f>HYPERLINK("https://www.examplebusiness.com/resource-center/investment/types-of-stock-market-analysis","https://www.examplebusiness.com/resource-center/investment/types-of-stock-market-analysis")</f>
        <v>https://www.examplebusiness.com/resource-center/investment/types-of-stock-market-analysis</v>
      </c>
      <c r="K250" s="34" t="s">
        <v>1643</v>
      </c>
      <c r="L250" s="34" t="s">
        <v>1643</v>
      </c>
      <c r="M250" s="34"/>
      <c r="N250" s="34"/>
      <c r="O250" s="34"/>
      <c r="P250" s="102"/>
      <c r="Q250" s="34"/>
      <c r="R250" s="102"/>
    </row>
    <row r="251" spans="1:18" ht="16.5" x14ac:dyDescent="0.35">
      <c r="A251" s="34" t="s">
        <v>1986</v>
      </c>
      <c r="B251" s="34" t="s">
        <v>1987</v>
      </c>
      <c r="C251" s="20" t="s">
        <v>310</v>
      </c>
      <c r="D251" s="34">
        <v>33</v>
      </c>
      <c r="E251" s="34">
        <v>45</v>
      </c>
      <c r="F251" s="254">
        <v>6.65</v>
      </c>
      <c r="G251" s="174" t="s">
        <v>572</v>
      </c>
      <c r="H251" s="34" t="s">
        <v>1643</v>
      </c>
      <c r="I251" s="34">
        <v>60</v>
      </c>
      <c r="J251" s="104" t="str">
        <f>HYPERLINK("https://www.examplebusiness.com/blog/socially-responsible-investing","https://www.examplebusiness.com/blog/socially-responsible-investing")</f>
        <v>https://www.examplebusiness.com/blog/socially-responsible-investing</v>
      </c>
      <c r="K251" s="34" t="s">
        <v>1643</v>
      </c>
      <c r="L251" s="34" t="s">
        <v>1643</v>
      </c>
      <c r="M251" s="34"/>
      <c r="N251" s="34"/>
      <c r="O251" s="34"/>
      <c r="P251" s="102"/>
      <c r="Q251" s="34"/>
      <c r="R251" s="102"/>
    </row>
    <row r="252" spans="1:18" ht="16.5" x14ac:dyDescent="0.35">
      <c r="A252" s="34" t="s">
        <v>1986</v>
      </c>
      <c r="B252" s="34" t="s">
        <v>1986</v>
      </c>
      <c r="C252" s="20" t="s">
        <v>311</v>
      </c>
      <c r="D252" s="34">
        <v>0</v>
      </c>
      <c r="E252" s="34">
        <v>45</v>
      </c>
      <c r="F252" s="254">
        <v>0</v>
      </c>
      <c r="G252" s="174" t="s">
        <v>642</v>
      </c>
      <c r="H252" s="34" t="s">
        <v>1643</v>
      </c>
      <c r="I252" s="34">
        <v>70</v>
      </c>
      <c r="J252" s="104" t="str">
        <f>HYPERLINK("https://www.examplebusiness.com/team/kirsten-davidson","https://www.examplebusiness.com/team/kirsten-davidson")</f>
        <v>https://www.examplebusiness.com/team/kirsten-davidson</v>
      </c>
      <c r="K252" s="34" t="s">
        <v>1643</v>
      </c>
      <c r="L252" s="34" t="s">
        <v>1643</v>
      </c>
      <c r="M252" s="34"/>
      <c r="N252" s="34"/>
      <c r="O252" s="34"/>
      <c r="P252" s="102"/>
      <c r="Q252" s="34"/>
      <c r="R252" s="102"/>
    </row>
    <row r="253" spans="1:18" ht="16.5" x14ac:dyDescent="0.35">
      <c r="A253" s="34" t="s">
        <v>1986</v>
      </c>
      <c r="B253" s="34" t="s">
        <v>1986</v>
      </c>
      <c r="C253" s="20" t="s">
        <v>2563</v>
      </c>
      <c r="D253" s="34">
        <v>20</v>
      </c>
      <c r="E253" s="34">
        <v>45</v>
      </c>
      <c r="F253" s="254">
        <v>20.09</v>
      </c>
      <c r="G253" s="174" t="s">
        <v>646</v>
      </c>
      <c r="H253" s="34" t="s">
        <v>1643</v>
      </c>
      <c r="I253" s="34">
        <v>78</v>
      </c>
      <c r="J253" s="104" t="str">
        <f>HYPERLINK("https://www.examplebusiness.com/","https://www.examplebusiness.com/")</f>
        <v>https://www.examplebusiness.com/</v>
      </c>
      <c r="K253" s="34" t="s">
        <v>1643</v>
      </c>
      <c r="L253" s="34" t="s">
        <v>1643</v>
      </c>
      <c r="M253" s="34"/>
      <c r="N253" s="34"/>
      <c r="O253" s="34"/>
      <c r="P253" s="102"/>
      <c r="Q253" s="34"/>
      <c r="R253" s="102"/>
    </row>
    <row r="254" spans="1:18" ht="16.5" x14ac:dyDescent="0.35">
      <c r="A254" s="34" t="s">
        <v>1986</v>
      </c>
      <c r="B254" s="34" t="s">
        <v>1986</v>
      </c>
      <c r="C254" s="20" t="s">
        <v>313</v>
      </c>
      <c r="D254" s="34">
        <v>3</v>
      </c>
      <c r="E254" s="34">
        <v>45</v>
      </c>
      <c r="F254" s="254">
        <v>7.2</v>
      </c>
      <c r="G254" s="174" t="s">
        <v>661</v>
      </c>
      <c r="H254" s="34" t="s">
        <v>1643</v>
      </c>
      <c r="I254" s="34">
        <v>90</v>
      </c>
      <c r="J254" s="104" t="str">
        <f>HYPERLINK("https://www.examplebusiness.com/tax-planning-strategies","https://www.examplebusiness.com/tax-planning-strategies")</f>
        <v>https://www.examplebusiness.com/tax-planning-strategies</v>
      </c>
      <c r="K254" s="34" t="s">
        <v>1643</v>
      </c>
      <c r="L254" s="34" t="s">
        <v>1643</v>
      </c>
      <c r="M254" s="34"/>
      <c r="N254" s="34"/>
      <c r="O254" s="34"/>
      <c r="P254" s="102"/>
      <c r="Q254" s="34"/>
      <c r="R254" s="102"/>
    </row>
    <row r="255" spans="1:18" ht="16.5" x14ac:dyDescent="0.35">
      <c r="A255" s="34" t="s">
        <v>1988</v>
      </c>
      <c r="B255" s="34" t="s">
        <v>1986</v>
      </c>
      <c r="C255" s="20" t="s">
        <v>314</v>
      </c>
      <c r="D255" s="34">
        <v>38</v>
      </c>
      <c r="E255" s="34">
        <v>45</v>
      </c>
      <c r="F255" s="254">
        <v>0</v>
      </c>
      <c r="G255" s="174" t="s">
        <v>664</v>
      </c>
      <c r="H255" s="34" t="s">
        <v>1643</v>
      </c>
      <c r="I255" s="34">
        <v>93</v>
      </c>
      <c r="J255" s="104" t="str">
        <f>HYPERLINK("https://www.examplebusiness.com/resource-center/insurance/how-does-whole-life-insurance-work","https://www.examplebusiness.com/resource-center/insurance/how-does-whole-life-insurance-work")</f>
        <v>https://www.examplebusiness.com/resource-center/insurance/how-does-whole-life-insurance-work</v>
      </c>
      <c r="K255" s="34" t="s">
        <v>1643</v>
      </c>
      <c r="L255" s="34" t="s">
        <v>1643</v>
      </c>
      <c r="M255" s="34"/>
      <c r="N255" s="34"/>
      <c r="O255" s="34"/>
      <c r="P255" s="102"/>
      <c r="Q255" s="34"/>
      <c r="R255" s="102"/>
    </row>
    <row r="256" spans="1:18" ht="16.5" x14ac:dyDescent="0.35">
      <c r="A256" s="34" t="s">
        <v>1989</v>
      </c>
      <c r="B256" s="34" t="s">
        <v>1987</v>
      </c>
      <c r="C256" s="20" t="s">
        <v>315</v>
      </c>
      <c r="D256" s="34">
        <v>35</v>
      </c>
      <c r="E256" s="34">
        <v>40</v>
      </c>
      <c r="F256" s="254">
        <v>3</v>
      </c>
      <c r="G256" s="174" t="s">
        <v>2025</v>
      </c>
      <c r="H256" s="34" t="s">
        <v>1992</v>
      </c>
      <c r="I256" s="34" t="s">
        <v>1992</v>
      </c>
      <c r="J256" s="20" t="s">
        <v>1992</v>
      </c>
      <c r="K256" s="34" t="s">
        <v>1992</v>
      </c>
      <c r="L256" s="34" t="s">
        <v>1992</v>
      </c>
      <c r="M256" s="34"/>
      <c r="N256" s="34"/>
      <c r="O256" s="34"/>
      <c r="P256" s="102"/>
      <c r="Q256" s="34"/>
      <c r="R256" s="102"/>
    </row>
    <row r="257" spans="1:18" ht="16.5" x14ac:dyDescent="0.35">
      <c r="A257" s="34" t="s">
        <v>1989</v>
      </c>
      <c r="B257" s="34" t="s">
        <v>1994</v>
      </c>
      <c r="C257" s="20" t="s">
        <v>316</v>
      </c>
      <c r="D257" s="34">
        <v>11</v>
      </c>
      <c r="E257" s="34">
        <v>40</v>
      </c>
      <c r="F257" s="254">
        <v>8</v>
      </c>
      <c r="G257" s="174" t="s">
        <v>2011</v>
      </c>
      <c r="H257" s="34" t="s">
        <v>1992</v>
      </c>
      <c r="I257" s="34" t="s">
        <v>1992</v>
      </c>
      <c r="J257" s="20" t="s">
        <v>1992</v>
      </c>
      <c r="K257" s="34" t="s">
        <v>1992</v>
      </c>
      <c r="L257" s="34" t="s">
        <v>1992</v>
      </c>
      <c r="M257" s="34"/>
      <c r="N257" s="34"/>
      <c r="O257" s="34"/>
      <c r="P257" s="102"/>
      <c r="Q257" s="34"/>
      <c r="R257" s="102"/>
    </row>
    <row r="258" spans="1:18" ht="16.5" x14ac:dyDescent="0.35">
      <c r="A258" s="34" t="s">
        <v>1989</v>
      </c>
      <c r="B258" s="34" t="s">
        <v>1990</v>
      </c>
      <c r="C258" s="20" t="s">
        <v>317</v>
      </c>
      <c r="D258" s="34">
        <v>61</v>
      </c>
      <c r="E258" s="34">
        <v>40</v>
      </c>
      <c r="F258" s="254">
        <v>15.414999999999999</v>
      </c>
      <c r="G258" s="174" t="s">
        <v>572</v>
      </c>
      <c r="H258" s="34" t="s">
        <v>1992</v>
      </c>
      <c r="I258" s="34" t="s">
        <v>1992</v>
      </c>
      <c r="J258" s="20" t="s">
        <v>1992</v>
      </c>
      <c r="K258" s="34" t="s">
        <v>1992</v>
      </c>
      <c r="L258" s="34" t="s">
        <v>1992</v>
      </c>
      <c r="M258" s="34"/>
      <c r="N258" s="34"/>
      <c r="O258" s="34"/>
      <c r="P258" s="102"/>
      <c r="Q258" s="34"/>
      <c r="R258" s="102"/>
    </row>
    <row r="259" spans="1:18" ht="16.5" x14ac:dyDescent="0.35">
      <c r="A259" s="34" t="s">
        <v>1989</v>
      </c>
      <c r="B259" s="34" t="s">
        <v>2001</v>
      </c>
      <c r="C259" s="20" t="s">
        <v>318</v>
      </c>
      <c r="D259" s="34">
        <v>27</v>
      </c>
      <c r="E259" s="34">
        <v>40</v>
      </c>
      <c r="F259" s="254">
        <v>6.6349999999999998</v>
      </c>
      <c r="G259" s="174" t="s">
        <v>2020</v>
      </c>
      <c r="H259" s="34" t="s">
        <v>1992</v>
      </c>
      <c r="I259" s="34" t="s">
        <v>1992</v>
      </c>
      <c r="J259" s="20" t="s">
        <v>1992</v>
      </c>
      <c r="K259" s="34" t="s">
        <v>1992</v>
      </c>
      <c r="L259" s="34" t="s">
        <v>1992</v>
      </c>
      <c r="M259" s="34"/>
      <c r="N259" s="34"/>
      <c r="O259" s="34"/>
      <c r="P259" s="102"/>
      <c r="Q259" s="34"/>
      <c r="R259" s="102"/>
    </row>
    <row r="260" spans="1:18" ht="16.5" x14ac:dyDescent="0.35">
      <c r="A260" s="34" t="s">
        <v>1986</v>
      </c>
      <c r="B260" s="34" t="s">
        <v>1986</v>
      </c>
      <c r="C260" s="20" t="s">
        <v>319</v>
      </c>
      <c r="D260" s="34">
        <v>35</v>
      </c>
      <c r="E260" s="34">
        <v>40</v>
      </c>
      <c r="F260" s="254">
        <v>0.05</v>
      </c>
      <c r="G260" s="174" t="s">
        <v>572</v>
      </c>
      <c r="H260" s="34" t="s">
        <v>1643</v>
      </c>
      <c r="I260" s="34">
        <v>4</v>
      </c>
      <c r="J260" s="104" t="str">
        <f>HYPERLINK("https://www.examplebusiness.com/","https://www.examplebusiness.com/")</f>
        <v>https://www.examplebusiness.com/</v>
      </c>
      <c r="K260" s="34" t="s">
        <v>1643</v>
      </c>
      <c r="L260" s="34" t="s">
        <v>1643</v>
      </c>
      <c r="M260" s="34"/>
      <c r="N260" s="34"/>
      <c r="O260" s="34"/>
      <c r="P260" s="102"/>
      <c r="Q260" s="34"/>
      <c r="R260" s="102"/>
    </row>
    <row r="261" spans="1:18" ht="16.5" x14ac:dyDescent="0.35">
      <c r="A261" s="34" t="s">
        <v>1986</v>
      </c>
      <c r="B261" s="34" t="s">
        <v>1986</v>
      </c>
      <c r="C261" s="20" t="s">
        <v>320</v>
      </c>
      <c r="D261" s="34">
        <v>0</v>
      </c>
      <c r="E261" s="34">
        <v>40</v>
      </c>
      <c r="F261" s="254">
        <v>0</v>
      </c>
      <c r="G261" s="174" t="s">
        <v>585</v>
      </c>
      <c r="H261" s="34" t="s">
        <v>1643</v>
      </c>
      <c r="I261" s="34">
        <v>26</v>
      </c>
      <c r="J261" s="104" t="str">
        <f>HYPERLINK("https://www.examplebusiness.com/team/mike-rogers-1","https://www.examplebusiness.com/team/mike-rogers-1")</f>
        <v>https://www.examplebusiness.com/team/mike-rogers-1</v>
      </c>
      <c r="K261" s="34" t="s">
        <v>1643</v>
      </c>
      <c r="L261" s="34" t="s">
        <v>1643</v>
      </c>
      <c r="M261" s="34"/>
      <c r="N261" s="34"/>
      <c r="O261" s="34"/>
      <c r="P261" s="102"/>
      <c r="Q261" s="34"/>
      <c r="R261" s="102"/>
    </row>
    <row r="262" spans="1:18" ht="16.5" x14ac:dyDescent="0.35">
      <c r="A262" s="34" t="s">
        <v>1986</v>
      </c>
      <c r="B262" s="34" t="s">
        <v>1986</v>
      </c>
      <c r="C262" s="20" t="s">
        <v>321</v>
      </c>
      <c r="D262" s="34">
        <v>2</v>
      </c>
      <c r="E262" s="34">
        <v>40</v>
      </c>
      <c r="F262" s="254">
        <v>0</v>
      </c>
      <c r="G262" s="174" t="s">
        <v>588</v>
      </c>
      <c r="H262" s="34" t="s">
        <v>1643</v>
      </c>
      <c r="I262" s="34">
        <v>32</v>
      </c>
      <c r="J262" s="104" t="str">
        <f>HYPERLINK("https://www.examplebusiness.com/resource-center/money/life-and-death-of-a-20-dollar-bill","https://www.examplebusiness.com/resource-center/money/life-and-death-of-a-20-dollar-bill")</f>
        <v>https://www.examplebusiness.com/resource-center/money/life-and-death-of-a-20-dollar-bill</v>
      </c>
      <c r="K262" s="34" t="s">
        <v>1643</v>
      </c>
      <c r="L262" s="34" t="s">
        <v>1643</v>
      </c>
      <c r="M262" s="34"/>
      <c r="N262" s="34"/>
      <c r="O262" s="34"/>
      <c r="P262" s="102"/>
      <c r="Q262" s="34"/>
      <c r="R262" s="102"/>
    </row>
    <row r="263" spans="1:18" ht="16.5" x14ac:dyDescent="0.35">
      <c r="A263" s="34" t="s">
        <v>1986</v>
      </c>
      <c r="B263" s="34" t="s">
        <v>1986</v>
      </c>
      <c r="C263" s="20" t="s">
        <v>322</v>
      </c>
      <c r="D263" s="34">
        <v>0</v>
      </c>
      <c r="E263" s="34">
        <v>40</v>
      </c>
      <c r="F263" s="254">
        <v>0</v>
      </c>
      <c r="G263" s="174" t="s">
        <v>602</v>
      </c>
      <c r="H263" s="34" t="s">
        <v>1643</v>
      </c>
      <c r="I263" s="34">
        <v>36</v>
      </c>
      <c r="J263" s="104" t="str">
        <f>HYPERLINK("https://www.examplebusiness.com/resource-center/lifestyle/a-house-divided","https://www.examplebusiness.com/resource-center/lifestyle/a-house-divided")</f>
        <v>https://www.examplebusiness.com/resource-center/lifestyle/a-house-divided</v>
      </c>
      <c r="K263" s="34" t="s">
        <v>1643</v>
      </c>
      <c r="L263" s="34" t="s">
        <v>1643</v>
      </c>
      <c r="M263" s="34"/>
      <c r="N263" s="34"/>
      <c r="O263" s="34"/>
      <c r="P263" s="102"/>
      <c r="Q263" s="34"/>
      <c r="R263" s="102"/>
    </row>
    <row r="264" spans="1:18" ht="16.5" x14ac:dyDescent="0.35">
      <c r="A264" s="34" t="s">
        <v>1986</v>
      </c>
      <c r="B264" s="34" t="s">
        <v>1986</v>
      </c>
      <c r="C264" s="20" t="s">
        <v>323</v>
      </c>
      <c r="D264" s="34">
        <v>0</v>
      </c>
      <c r="E264" s="34">
        <v>40</v>
      </c>
      <c r="F264" s="254">
        <v>0</v>
      </c>
      <c r="G264" s="174" t="s">
        <v>620</v>
      </c>
      <c r="H264" s="34" t="s">
        <v>1643</v>
      </c>
      <c r="I264" s="34">
        <v>56</v>
      </c>
      <c r="J264" s="104" t="str">
        <f>HYPERLINK("https://www.examplebusiness.com/blog/how-our-economy-can-bounce-back","https://www.examplebusiness.com/blog/how-our-economy-can-bounce-back")</f>
        <v>https://www.examplebusiness.com/blog/how-our-economy-can-bounce-back</v>
      </c>
      <c r="K264" s="34" t="s">
        <v>1643</v>
      </c>
      <c r="L264" s="34" t="s">
        <v>1643</v>
      </c>
      <c r="M264" s="34"/>
      <c r="N264" s="34"/>
      <c r="O264" s="34"/>
      <c r="P264" s="102"/>
      <c r="Q264" s="34"/>
      <c r="R264" s="102"/>
    </row>
    <row r="265" spans="1:18" ht="16.5" x14ac:dyDescent="0.35">
      <c r="A265" s="34" t="s">
        <v>1986</v>
      </c>
      <c r="B265" s="34" t="s">
        <v>1986</v>
      </c>
      <c r="C265" s="20" t="s">
        <v>324</v>
      </c>
      <c r="D265" s="34">
        <v>11</v>
      </c>
      <c r="E265" s="34">
        <v>40</v>
      </c>
      <c r="F265" s="254">
        <v>0</v>
      </c>
      <c r="G265" s="174" t="s">
        <v>601</v>
      </c>
      <c r="H265" s="34" t="s">
        <v>1643</v>
      </c>
      <c r="I265" s="34">
        <v>72</v>
      </c>
      <c r="J265" s="104" t="str">
        <f>HYPERLINK("https://www.examplebusiness.com/","https://www.examplebusiness.com/")</f>
        <v>https://www.examplebusiness.com/</v>
      </c>
      <c r="K265" s="34" t="s">
        <v>1643</v>
      </c>
      <c r="L265" s="34" t="s">
        <v>1643</v>
      </c>
      <c r="M265" s="34"/>
      <c r="N265" s="34"/>
      <c r="O265" s="34"/>
      <c r="P265" s="102"/>
      <c r="Q265" s="34"/>
      <c r="R265" s="102"/>
    </row>
    <row r="266" spans="1:18" ht="16.5" x14ac:dyDescent="0.35">
      <c r="A266" s="34" t="s">
        <v>1986</v>
      </c>
      <c r="B266" s="34" t="s">
        <v>1990</v>
      </c>
      <c r="C266" s="20" t="s">
        <v>325</v>
      </c>
      <c r="D266" s="34">
        <v>21</v>
      </c>
      <c r="E266" s="34">
        <v>40</v>
      </c>
      <c r="F266" s="254">
        <v>0</v>
      </c>
      <c r="G266" s="174" t="s">
        <v>591</v>
      </c>
      <c r="H266" s="34" t="s">
        <v>1643</v>
      </c>
      <c r="I266" s="34">
        <v>76</v>
      </c>
      <c r="J266" s="104" t="str">
        <f>HYPERLINK("https://www.examplebusiness.com/resource-center/retirement/how-to-retire-early","https://www.examplebusiness.com/resource-center/retirement/how-to-retire-early")</f>
        <v>https://www.examplebusiness.com/resource-center/retirement/how-to-retire-early</v>
      </c>
      <c r="K266" s="34" t="s">
        <v>1643</v>
      </c>
      <c r="L266" s="34" t="s">
        <v>1643</v>
      </c>
      <c r="M266" s="34"/>
      <c r="N266" s="34"/>
      <c r="O266" s="34"/>
      <c r="P266" s="102"/>
      <c r="Q266" s="34"/>
      <c r="R266" s="102"/>
    </row>
    <row r="267" spans="1:18" ht="16.5" x14ac:dyDescent="0.35">
      <c r="A267" s="34" t="s">
        <v>1986</v>
      </c>
      <c r="B267" s="34" t="s">
        <v>1986</v>
      </c>
      <c r="C267" s="20" t="s">
        <v>326</v>
      </c>
      <c r="D267" s="34">
        <v>8</v>
      </c>
      <c r="E267" s="34">
        <v>40</v>
      </c>
      <c r="F267" s="254">
        <v>0</v>
      </c>
      <c r="G267" s="174" t="s">
        <v>568</v>
      </c>
      <c r="H267" s="34" t="s">
        <v>1643</v>
      </c>
      <c r="I267" s="34">
        <v>85</v>
      </c>
      <c r="J267" s="104" t="str">
        <f>HYPERLINK("https://www.examplebusiness.com/p/investment-management","https://www.examplebusiness.com/p/investment-management")</f>
        <v>https://www.examplebusiness.com/p/investment-management</v>
      </c>
      <c r="K267" s="34" t="s">
        <v>1643</v>
      </c>
      <c r="L267" s="34" t="s">
        <v>1643</v>
      </c>
      <c r="M267" s="34"/>
      <c r="N267" s="34"/>
      <c r="O267" s="34"/>
      <c r="P267" s="102"/>
      <c r="Q267" s="34"/>
      <c r="R267" s="102"/>
    </row>
    <row r="268" spans="1:18" ht="16.5" x14ac:dyDescent="0.35">
      <c r="A268" s="34" t="s">
        <v>1986</v>
      </c>
      <c r="B268" s="34" t="s">
        <v>1986</v>
      </c>
      <c r="C268" s="20" t="s">
        <v>327</v>
      </c>
      <c r="D268" s="34">
        <v>0</v>
      </c>
      <c r="E268" s="34">
        <v>40</v>
      </c>
      <c r="F268" s="254">
        <v>0</v>
      </c>
      <c r="G268" s="174"/>
      <c r="H268" s="34" t="s">
        <v>1643</v>
      </c>
      <c r="I268" s="34">
        <v>82</v>
      </c>
      <c r="J268" s="104" t="str">
        <f>HYPERLINK("https://www.examplebusiness.com/tax-planning-strategies","https://www.examplebusiness.com/tax-planning-strategies")</f>
        <v>https://www.examplebusiness.com/tax-planning-strategies</v>
      </c>
      <c r="K268" s="34" t="s">
        <v>1643</v>
      </c>
      <c r="L268" s="34" t="s">
        <v>1643</v>
      </c>
      <c r="M268" s="34"/>
      <c r="N268" s="34"/>
      <c r="O268" s="34"/>
      <c r="P268" s="102"/>
      <c r="Q268" s="34"/>
      <c r="R268" s="102"/>
    </row>
    <row r="269" spans="1:18" ht="16.5" x14ac:dyDescent="0.35">
      <c r="A269" s="34" t="s">
        <v>1993</v>
      </c>
      <c r="B269" s="34" t="s">
        <v>1990</v>
      </c>
      <c r="C269" s="20" t="s">
        <v>328</v>
      </c>
      <c r="D269" s="34">
        <v>29</v>
      </c>
      <c r="E269" s="34">
        <v>40</v>
      </c>
      <c r="F269" s="254" t="s">
        <v>70</v>
      </c>
      <c r="G269" s="174" t="s">
        <v>572</v>
      </c>
      <c r="H269" s="34" t="s">
        <v>1643</v>
      </c>
      <c r="I269" s="34">
        <v>87</v>
      </c>
      <c r="J269" s="104" t="str">
        <f>HYPERLINK("https://www.examplebusiness.com/resource-center/retirement/self-employed-retirement-plans","https://www.examplebusiness.com/resource-center/retirement/self-employed-retirement-plans")</f>
        <v>https://www.examplebusiness.com/resource-center/retirement/self-employed-retirement-plans</v>
      </c>
      <c r="K269" s="34" t="s">
        <v>1643</v>
      </c>
      <c r="L269" s="34" t="s">
        <v>1643</v>
      </c>
      <c r="M269" s="34"/>
      <c r="N269" s="34"/>
      <c r="O269" s="34"/>
      <c r="P269" s="102"/>
      <c r="Q269" s="34"/>
      <c r="R269" s="102"/>
    </row>
    <row r="270" spans="1:18" ht="16.5" x14ac:dyDescent="0.35">
      <c r="A270" s="34" t="s">
        <v>1986</v>
      </c>
      <c r="B270" s="34" t="s">
        <v>1986</v>
      </c>
      <c r="C270" s="20" t="s">
        <v>329</v>
      </c>
      <c r="D270" s="34">
        <v>0</v>
      </c>
      <c r="E270" s="34">
        <v>40</v>
      </c>
      <c r="F270" s="254">
        <v>0</v>
      </c>
      <c r="G270" s="174" t="s">
        <v>608</v>
      </c>
      <c r="H270" s="34" t="s">
        <v>1643</v>
      </c>
      <c r="I270" s="34">
        <v>93</v>
      </c>
      <c r="J270" s="104" t="str">
        <f>HYPERLINK("https://www.examplebusiness.com/meet-the-team","https://www.examplebusiness.com/meet-the-team")</f>
        <v>https://www.examplebusiness.com/meet-the-team</v>
      </c>
      <c r="K270" s="34" t="s">
        <v>1643</v>
      </c>
      <c r="L270" s="34" t="s">
        <v>1643</v>
      </c>
      <c r="M270" s="34"/>
      <c r="N270" s="34"/>
      <c r="O270" s="34"/>
      <c r="P270" s="102"/>
      <c r="Q270" s="34"/>
      <c r="R270" s="102"/>
    </row>
    <row r="271" spans="1:18" ht="16.5" x14ac:dyDescent="0.35">
      <c r="A271" s="34" t="s">
        <v>1988</v>
      </c>
      <c r="B271" s="34" t="s">
        <v>1986</v>
      </c>
      <c r="C271" s="20" t="s">
        <v>330</v>
      </c>
      <c r="D271" s="34">
        <v>36</v>
      </c>
      <c r="E271" s="34">
        <v>40</v>
      </c>
      <c r="F271" s="254">
        <v>1.94</v>
      </c>
      <c r="G271" s="174" t="s">
        <v>633</v>
      </c>
      <c r="H271" s="34" t="s">
        <v>1643</v>
      </c>
      <c r="I271" s="34">
        <v>99</v>
      </c>
      <c r="J271" s="104" t="str">
        <f>HYPERLINK("https://www.examplebusiness.com/resource-center/tax/how-income-taxes-work","https://www.examplebusiness.com/resource-center/tax/how-income-taxes-work")</f>
        <v>https://www.examplebusiness.com/resource-center/tax/how-income-taxes-work</v>
      </c>
      <c r="K271" s="34" t="s">
        <v>1643</v>
      </c>
      <c r="L271" s="34" t="s">
        <v>1643</v>
      </c>
      <c r="M271" s="34"/>
      <c r="N271" s="34"/>
      <c r="O271" s="34"/>
      <c r="P271" s="102"/>
      <c r="Q271" s="34"/>
      <c r="R271" s="102"/>
    </row>
    <row r="272" spans="1:18" ht="16.5" x14ac:dyDescent="0.35">
      <c r="A272" s="34" t="s">
        <v>1989</v>
      </c>
      <c r="B272" s="34" t="s">
        <v>1990</v>
      </c>
      <c r="C272" s="20" t="s">
        <v>331</v>
      </c>
      <c r="D272" s="34">
        <v>61</v>
      </c>
      <c r="E272" s="34">
        <v>35</v>
      </c>
      <c r="F272" s="254">
        <v>11.414999999999999</v>
      </c>
      <c r="G272" s="174" t="s">
        <v>2021</v>
      </c>
      <c r="H272" s="34" t="s">
        <v>1992</v>
      </c>
      <c r="I272" s="34" t="s">
        <v>1992</v>
      </c>
      <c r="J272" s="20" t="s">
        <v>1992</v>
      </c>
      <c r="K272" s="34" t="s">
        <v>1992</v>
      </c>
      <c r="L272" s="34" t="s">
        <v>1992</v>
      </c>
      <c r="M272" s="34"/>
      <c r="N272" s="34"/>
      <c r="O272" s="34"/>
      <c r="P272" s="102"/>
      <c r="Q272" s="34"/>
      <c r="R272" s="102"/>
    </row>
    <row r="273" spans="1:18" ht="16.5" x14ac:dyDescent="0.35">
      <c r="A273" s="34" t="s">
        <v>1989</v>
      </c>
      <c r="B273" s="34" t="s">
        <v>2001</v>
      </c>
      <c r="C273" s="20" t="s">
        <v>332</v>
      </c>
      <c r="D273" s="34">
        <v>29</v>
      </c>
      <c r="E273" s="34">
        <v>35</v>
      </c>
      <c r="F273" s="254">
        <v>5.6349999999999998</v>
      </c>
      <c r="G273" s="174" t="s">
        <v>1995</v>
      </c>
      <c r="H273" s="34" t="s">
        <v>1992</v>
      </c>
      <c r="I273" s="34" t="s">
        <v>1992</v>
      </c>
      <c r="J273" s="20" t="s">
        <v>1992</v>
      </c>
      <c r="K273" s="34" t="s">
        <v>1992</v>
      </c>
      <c r="L273" s="34" t="s">
        <v>1992</v>
      </c>
      <c r="M273" s="34"/>
      <c r="N273" s="34"/>
      <c r="O273" s="34"/>
      <c r="P273" s="102"/>
      <c r="Q273" s="34"/>
      <c r="R273" s="102"/>
    </row>
    <row r="274" spans="1:18" ht="16.5" x14ac:dyDescent="0.35">
      <c r="A274" s="34" t="s">
        <v>1989</v>
      </c>
      <c r="B274" s="34" t="s">
        <v>2001</v>
      </c>
      <c r="C274" s="20" t="s">
        <v>333</v>
      </c>
      <c r="D274" s="34">
        <v>17</v>
      </c>
      <c r="E274" s="34">
        <v>35</v>
      </c>
      <c r="F274" s="254">
        <v>4.1349999999999998</v>
      </c>
      <c r="G274" s="174" t="s">
        <v>1991</v>
      </c>
      <c r="H274" s="34" t="s">
        <v>1992</v>
      </c>
      <c r="I274" s="34" t="s">
        <v>1992</v>
      </c>
      <c r="J274" s="20" t="s">
        <v>1992</v>
      </c>
      <c r="K274" s="34" t="s">
        <v>1992</v>
      </c>
      <c r="L274" s="34" t="s">
        <v>1992</v>
      </c>
      <c r="M274" s="34"/>
      <c r="N274" s="34"/>
      <c r="O274" s="34"/>
      <c r="P274" s="102"/>
      <c r="Q274" s="34"/>
      <c r="R274" s="102"/>
    </row>
    <row r="275" spans="1:18" ht="16.5" x14ac:dyDescent="0.35">
      <c r="A275" s="34" t="s">
        <v>1989</v>
      </c>
      <c r="B275" s="34" t="s">
        <v>2001</v>
      </c>
      <c r="C275" s="20" t="s">
        <v>334</v>
      </c>
      <c r="D275" s="34">
        <v>28</v>
      </c>
      <c r="E275" s="34">
        <v>35</v>
      </c>
      <c r="F275" s="254">
        <v>16.715</v>
      </c>
      <c r="G275" s="174" t="s">
        <v>2030</v>
      </c>
      <c r="H275" s="34" t="s">
        <v>1992</v>
      </c>
      <c r="I275" s="34" t="s">
        <v>1992</v>
      </c>
      <c r="J275" s="20" t="s">
        <v>1992</v>
      </c>
      <c r="K275" s="34" t="s">
        <v>1992</v>
      </c>
      <c r="L275" s="34" t="s">
        <v>1992</v>
      </c>
      <c r="M275" s="34"/>
      <c r="N275" s="34"/>
      <c r="O275" s="34"/>
      <c r="P275" s="102"/>
      <c r="Q275" s="34"/>
      <c r="R275" s="102"/>
    </row>
    <row r="276" spans="1:18" ht="16.5" x14ac:dyDescent="0.35">
      <c r="A276" s="34" t="s">
        <v>1986</v>
      </c>
      <c r="B276" s="34" t="s">
        <v>1986</v>
      </c>
      <c r="C276" s="20" t="s">
        <v>335</v>
      </c>
      <c r="D276" s="34">
        <v>4</v>
      </c>
      <c r="E276" s="34">
        <v>35</v>
      </c>
      <c r="F276" s="254">
        <v>13.33</v>
      </c>
      <c r="G276" s="174" t="s">
        <v>572</v>
      </c>
      <c r="H276" s="34" t="s">
        <v>1643</v>
      </c>
      <c r="I276" s="34">
        <v>22</v>
      </c>
      <c r="J276" s="104" t="str">
        <f>HYPERLINK("https://www.examplebusiness.com/resource-center/insurance/medicare-at-65","https://www.examplebusiness.com/resource-center/insurance/medicare-at-65")</f>
        <v>https://www.examplebusiness.com/resource-center/insurance/medicare-at-65</v>
      </c>
      <c r="K276" s="34" t="s">
        <v>1643</v>
      </c>
      <c r="L276" s="34" t="s">
        <v>1643</v>
      </c>
      <c r="M276" s="34"/>
      <c r="N276" s="34"/>
      <c r="O276" s="34"/>
      <c r="P276" s="102"/>
      <c r="Q276" s="34"/>
      <c r="R276" s="102"/>
    </row>
    <row r="277" spans="1:18" ht="16.5" x14ac:dyDescent="0.35">
      <c r="A277" s="34" t="s">
        <v>1993</v>
      </c>
      <c r="B277" s="34" t="s">
        <v>1986</v>
      </c>
      <c r="C277" s="20" t="s">
        <v>336</v>
      </c>
      <c r="D277" s="34">
        <v>68</v>
      </c>
      <c r="E277" s="34">
        <v>35</v>
      </c>
      <c r="F277" s="254">
        <v>3.38</v>
      </c>
      <c r="G277" s="174" t="s">
        <v>593</v>
      </c>
      <c r="H277" s="34" t="s">
        <v>1643</v>
      </c>
      <c r="I277" s="34">
        <v>28</v>
      </c>
      <c r="J277" s="104" t="str">
        <f>HYPERLINK("https://www.examplebusiness.com/resource-center/money","https://www.examplebusiness.com/resource-center/money")</f>
        <v>https://www.examplebusiness.com/resource-center/money</v>
      </c>
      <c r="K277" s="34" t="s">
        <v>1643</v>
      </c>
      <c r="L277" s="34" t="s">
        <v>1643</v>
      </c>
      <c r="M277" s="34"/>
      <c r="N277" s="34"/>
      <c r="O277" s="34"/>
      <c r="P277" s="102"/>
      <c r="Q277" s="34"/>
      <c r="R277" s="102"/>
    </row>
    <row r="278" spans="1:18" ht="16.5" x14ac:dyDescent="0.35">
      <c r="A278" s="34" t="s">
        <v>1986</v>
      </c>
      <c r="B278" s="34" t="s">
        <v>1986</v>
      </c>
      <c r="C278" s="20" t="s">
        <v>337</v>
      </c>
      <c r="D278" s="34">
        <v>39</v>
      </c>
      <c r="E278" s="34">
        <v>35</v>
      </c>
      <c r="F278" s="254">
        <v>0</v>
      </c>
      <c r="G278" s="174" t="s">
        <v>601</v>
      </c>
      <c r="H278" s="34" t="s">
        <v>1643</v>
      </c>
      <c r="I278" s="34">
        <v>37</v>
      </c>
      <c r="J278" s="104" t="str">
        <f>HYPERLINK("https://www.examplebusiness.com/blog","https://www.examplebusiness.com/blog")</f>
        <v>https://www.examplebusiness.com/blog</v>
      </c>
      <c r="K278" s="34" t="s">
        <v>1643</v>
      </c>
      <c r="L278" s="34" t="s">
        <v>1643</v>
      </c>
      <c r="M278" s="34"/>
      <c r="N278" s="34"/>
      <c r="O278" s="34"/>
      <c r="P278" s="102"/>
      <c r="Q278" s="34"/>
      <c r="R278" s="102"/>
    </row>
    <row r="279" spans="1:18" ht="16.5" x14ac:dyDescent="0.35">
      <c r="A279" s="34" t="s">
        <v>1986</v>
      </c>
      <c r="B279" s="34" t="s">
        <v>1986</v>
      </c>
      <c r="C279" s="20" t="s">
        <v>338</v>
      </c>
      <c r="D279" s="34">
        <v>73</v>
      </c>
      <c r="E279" s="34">
        <v>35</v>
      </c>
      <c r="F279" s="254">
        <v>0</v>
      </c>
      <c r="G279" s="174" t="s">
        <v>582</v>
      </c>
      <c r="H279" s="34" t="s">
        <v>1643</v>
      </c>
      <c r="I279" s="34">
        <v>41</v>
      </c>
      <c r="J279" s="104" t="str">
        <f>HYPERLINK("https://www.examplebusiness.com/resource-center/tax/understanding-marginal-income-tax-brackets","https://www.examplebusiness.com/resource-center/tax/understanding-marginal-income-tax-brackets")</f>
        <v>https://www.examplebusiness.com/resource-center/tax/understanding-marginal-income-tax-brackets</v>
      </c>
      <c r="K279" s="34" t="s">
        <v>1643</v>
      </c>
      <c r="L279" s="34" t="s">
        <v>1643</v>
      </c>
      <c r="M279" s="34"/>
      <c r="N279" s="34"/>
      <c r="O279" s="34"/>
      <c r="P279" s="102"/>
      <c r="Q279" s="34"/>
      <c r="R279" s="102"/>
    </row>
    <row r="280" spans="1:18" ht="16.5" x14ac:dyDescent="0.35">
      <c r="A280" s="34" t="s">
        <v>1988</v>
      </c>
      <c r="B280" s="34" t="s">
        <v>1986</v>
      </c>
      <c r="C280" s="20" t="s">
        <v>339</v>
      </c>
      <c r="D280" s="34">
        <v>58</v>
      </c>
      <c r="E280" s="34">
        <v>35</v>
      </c>
      <c r="F280" s="254">
        <v>5.45</v>
      </c>
      <c r="G280" s="174" t="s">
        <v>612</v>
      </c>
      <c r="H280" s="34" t="s">
        <v>1643</v>
      </c>
      <c r="I280" s="34">
        <v>77</v>
      </c>
      <c r="J280" s="104" t="str">
        <f>HYPERLINK("https://www.examplebusiness.com/resource-center/tax/how-income-taxes-work","https://www.examplebusiness.com/resource-center/tax/how-income-taxes-work")</f>
        <v>https://www.examplebusiness.com/resource-center/tax/how-income-taxes-work</v>
      </c>
      <c r="K280" s="34" t="s">
        <v>1643</v>
      </c>
      <c r="L280" s="34" t="s">
        <v>1643</v>
      </c>
      <c r="M280" s="34"/>
      <c r="N280" s="34"/>
      <c r="O280" s="34"/>
      <c r="P280" s="102"/>
      <c r="Q280" s="34"/>
      <c r="R280" s="102"/>
    </row>
    <row r="281" spans="1:18" ht="16.5" x14ac:dyDescent="0.35">
      <c r="A281" s="34" t="s">
        <v>1986</v>
      </c>
      <c r="B281" s="34" t="s">
        <v>1986</v>
      </c>
      <c r="C281" s="20" t="s">
        <v>2543</v>
      </c>
      <c r="D281" s="34">
        <v>25</v>
      </c>
      <c r="E281" s="34">
        <v>35</v>
      </c>
      <c r="F281" s="254">
        <v>0</v>
      </c>
      <c r="G281" s="174" t="s">
        <v>588</v>
      </c>
      <c r="H281" s="34" t="s">
        <v>1643</v>
      </c>
      <c r="I281" s="34">
        <v>79</v>
      </c>
      <c r="J281" s="104" t="str">
        <f>HYPERLINK("https://www.examplebusiness.com/","https://www.examplebusiness.com/")</f>
        <v>https://www.examplebusiness.com/</v>
      </c>
      <c r="K281" s="34" t="s">
        <v>1643</v>
      </c>
      <c r="L281" s="34" t="s">
        <v>1643</v>
      </c>
      <c r="M281" s="34"/>
      <c r="N281" s="34"/>
      <c r="O281" s="34"/>
      <c r="P281" s="102"/>
      <c r="Q281" s="34"/>
      <c r="R281" s="102"/>
    </row>
    <row r="282" spans="1:18" ht="16.5" x14ac:dyDescent="0.35">
      <c r="A282" s="34" t="s">
        <v>1988</v>
      </c>
      <c r="B282" s="34" t="s">
        <v>1986</v>
      </c>
      <c r="C282" s="20" t="s">
        <v>341</v>
      </c>
      <c r="D282" s="34">
        <v>72</v>
      </c>
      <c r="E282" s="34">
        <v>35</v>
      </c>
      <c r="F282" s="254">
        <v>0</v>
      </c>
      <c r="G282" s="174" t="s">
        <v>582</v>
      </c>
      <c r="H282" s="34" t="s">
        <v>1643</v>
      </c>
      <c r="I282" s="34">
        <v>89</v>
      </c>
      <c r="J282" s="104" t="str">
        <f>HYPERLINK("https://www.examplebusiness.com/resource-center/tax/how-income-taxes-work","https://www.examplebusiness.com/resource-center/tax/how-income-taxes-work")</f>
        <v>https://www.examplebusiness.com/resource-center/tax/how-income-taxes-work</v>
      </c>
      <c r="K282" s="34" t="s">
        <v>1643</v>
      </c>
      <c r="L282" s="34" t="s">
        <v>1643</v>
      </c>
      <c r="M282" s="34"/>
      <c r="N282" s="34"/>
      <c r="O282" s="34"/>
      <c r="P282" s="102"/>
      <c r="Q282" s="34"/>
      <c r="R282" s="102"/>
    </row>
    <row r="283" spans="1:18" ht="16.5" x14ac:dyDescent="0.35">
      <c r="A283" s="34" t="s">
        <v>1986</v>
      </c>
      <c r="B283" s="34" t="s">
        <v>1986</v>
      </c>
      <c r="C283" s="20" t="s">
        <v>342</v>
      </c>
      <c r="D283" s="34">
        <v>19</v>
      </c>
      <c r="E283" s="34">
        <v>35</v>
      </c>
      <c r="F283" s="254">
        <v>0</v>
      </c>
      <c r="G283" s="174" t="s">
        <v>610</v>
      </c>
      <c r="H283" s="34" t="s">
        <v>1643</v>
      </c>
      <c r="I283" s="34">
        <v>90</v>
      </c>
      <c r="J283" s="104" t="str">
        <f>HYPERLINK("https://www.examplebusiness.com/lpl-research","https://www.examplebusiness.com/lpl-research")</f>
        <v>https://www.examplebusiness.com/lpl-research</v>
      </c>
      <c r="K283" s="34" t="s">
        <v>1643</v>
      </c>
      <c r="L283" s="34" t="s">
        <v>1643</v>
      </c>
      <c r="M283" s="34"/>
      <c r="N283" s="34"/>
      <c r="O283" s="34"/>
      <c r="P283" s="102"/>
      <c r="Q283" s="34"/>
      <c r="R283" s="102"/>
    </row>
    <row r="284" spans="1:18" ht="16.5" x14ac:dyDescent="0.35">
      <c r="A284" s="34" t="s">
        <v>1988</v>
      </c>
      <c r="B284" s="34" t="s">
        <v>1986</v>
      </c>
      <c r="C284" s="20" t="s">
        <v>343</v>
      </c>
      <c r="D284" s="34">
        <v>28</v>
      </c>
      <c r="E284" s="34">
        <v>35</v>
      </c>
      <c r="F284" s="254">
        <v>0</v>
      </c>
      <c r="G284" s="174" t="s">
        <v>612</v>
      </c>
      <c r="H284" s="34" t="s">
        <v>1643</v>
      </c>
      <c r="I284" s="34">
        <v>95</v>
      </c>
      <c r="J284" s="104" t="str">
        <f>HYPERLINK("https://www.examplebusiness.com/resource-center/tax/how-income-taxes-work","https://www.examplebusiness.com/resource-center/tax/how-income-taxes-work")</f>
        <v>https://www.examplebusiness.com/resource-center/tax/how-income-taxes-work</v>
      </c>
      <c r="K284" s="34" t="s">
        <v>1643</v>
      </c>
      <c r="L284" s="34" t="s">
        <v>1643</v>
      </c>
      <c r="M284" s="34"/>
      <c r="N284" s="34"/>
      <c r="O284" s="34"/>
      <c r="P284" s="102"/>
      <c r="Q284" s="34"/>
      <c r="R284" s="102"/>
    </row>
    <row r="285" spans="1:18" ht="16.5" x14ac:dyDescent="0.35">
      <c r="A285" s="34" t="s">
        <v>1989</v>
      </c>
      <c r="B285" s="34" t="s">
        <v>1994</v>
      </c>
      <c r="C285" s="20" t="s">
        <v>344</v>
      </c>
      <c r="D285" s="34">
        <v>1</v>
      </c>
      <c r="E285" s="34">
        <v>30</v>
      </c>
      <c r="F285" s="254">
        <v>0</v>
      </c>
      <c r="G285" s="174" t="s">
        <v>2031</v>
      </c>
      <c r="H285" s="34" t="s">
        <v>1992</v>
      </c>
      <c r="I285" s="34" t="s">
        <v>1992</v>
      </c>
      <c r="J285" s="20" t="s">
        <v>1992</v>
      </c>
      <c r="K285" s="34" t="s">
        <v>1992</v>
      </c>
      <c r="L285" s="34" t="s">
        <v>1992</v>
      </c>
      <c r="M285" s="34"/>
      <c r="N285" s="34"/>
      <c r="O285" s="34"/>
      <c r="P285" s="102"/>
      <c r="Q285" s="34"/>
      <c r="R285" s="102"/>
    </row>
    <row r="286" spans="1:18" ht="16.5" x14ac:dyDescent="0.35">
      <c r="A286" s="34" t="s">
        <v>1989</v>
      </c>
      <c r="B286" s="34" t="s">
        <v>1987</v>
      </c>
      <c r="C286" s="20" t="s">
        <v>345</v>
      </c>
      <c r="D286" s="34">
        <v>12</v>
      </c>
      <c r="E286" s="34">
        <v>30</v>
      </c>
      <c r="F286" s="254">
        <v>3.5</v>
      </c>
      <c r="G286" s="174" t="s">
        <v>2022</v>
      </c>
      <c r="H286" s="34" t="s">
        <v>1992</v>
      </c>
      <c r="I286" s="34" t="s">
        <v>1992</v>
      </c>
      <c r="J286" s="20" t="s">
        <v>1992</v>
      </c>
      <c r="K286" s="34" t="s">
        <v>1992</v>
      </c>
      <c r="L286" s="34" t="s">
        <v>1992</v>
      </c>
      <c r="M286" s="34"/>
      <c r="N286" s="34"/>
      <c r="O286" s="34"/>
      <c r="P286" s="102"/>
      <c r="Q286" s="34"/>
      <c r="R286" s="102"/>
    </row>
    <row r="287" spans="1:18" ht="16.5" x14ac:dyDescent="0.35">
      <c r="A287" s="34" t="s">
        <v>1989</v>
      </c>
      <c r="B287" s="34" t="s">
        <v>1994</v>
      </c>
      <c r="C287" s="20" t="s">
        <v>346</v>
      </c>
      <c r="D287" s="34">
        <v>55</v>
      </c>
      <c r="E287" s="34">
        <v>30</v>
      </c>
      <c r="F287" s="254">
        <v>21.285</v>
      </c>
      <c r="G287" s="174" t="s">
        <v>2032</v>
      </c>
      <c r="H287" s="34" t="s">
        <v>1992</v>
      </c>
      <c r="I287" s="34" t="s">
        <v>1992</v>
      </c>
      <c r="J287" s="20" t="s">
        <v>1992</v>
      </c>
      <c r="K287" s="34" t="s">
        <v>1992</v>
      </c>
      <c r="L287" s="34" t="s">
        <v>1992</v>
      </c>
      <c r="M287" s="34"/>
      <c r="N287" s="34"/>
      <c r="O287" s="34"/>
      <c r="P287" s="102"/>
      <c r="Q287" s="34"/>
      <c r="R287" s="102"/>
    </row>
    <row r="288" spans="1:18" ht="16.5" x14ac:dyDescent="0.35">
      <c r="A288" s="34" t="s">
        <v>1993</v>
      </c>
      <c r="B288" s="34" t="s">
        <v>2001</v>
      </c>
      <c r="C288" s="20" t="s">
        <v>347</v>
      </c>
      <c r="D288" s="34"/>
      <c r="E288" s="34">
        <v>30</v>
      </c>
      <c r="F288" s="254">
        <v>17.884999999999998</v>
      </c>
      <c r="G288" s="174"/>
      <c r="H288" s="34" t="s">
        <v>1992</v>
      </c>
      <c r="I288" s="34" t="s">
        <v>1992</v>
      </c>
      <c r="J288" s="20" t="s">
        <v>1992</v>
      </c>
      <c r="K288" s="34" t="s">
        <v>1992</v>
      </c>
      <c r="L288" s="34" t="s">
        <v>1992</v>
      </c>
      <c r="M288" s="34"/>
      <c r="N288" s="34"/>
      <c r="O288" s="34"/>
      <c r="P288" s="102"/>
      <c r="Q288" s="34"/>
      <c r="R288" s="102"/>
    </row>
    <row r="289" spans="1:18" ht="16.5" x14ac:dyDescent="0.35">
      <c r="A289" s="34" t="s">
        <v>1989</v>
      </c>
      <c r="B289" s="34" t="s">
        <v>1987</v>
      </c>
      <c r="C289" s="20" t="s">
        <v>348</v>
      </c>
      <c r="D289" s="34"/>
      <c r="E289" s="34">
        <v>30</v>
      </c>
      <c r="F289" s="254">
        <v>8.5</v>
      </c>
      <c r="G289" s="174"/>
      <c r="H289" s="34" t="s">
        <v>1992</v>
      </c>
      <c r="I289" s="34" t="s">
        <v>1992</v>
      </c>
      <c r="J289" s="20" t="s">
        <v>1992</v>
      </c>
      <c r="K289" s="34" t="s">
        <v>1992</v>
      </c>
      <c r="L289" s="34" t="s">
        <v>1992</v>
      </c>
      <c r="M289" s="34"/>
      <c r="N289" s="34"/>
      <c r="O289" s="34"/>
      <c r="P289" s="102"/>
      <c r="Q289" s="34"/>
      <c r="R289" s="102"/>
    </row>
    <row r="290" spans="1:18" ht="16.5" x14ac:dyDescent="0.35">
      <c r="A290" s="34" t="s">
        <v>1989</v>
      </c>
      <c r="B290" s="34" t="s">
        <v>2001</v>
      </c>
      <c r="C290" s="20" t="s">
        <v>349</v>
      </c>
      <c r="D290" s="34">
        <v>39</v>
      </c>
      <c r="E290" s="34">
        <v>30</v>
      </c>
      <c r="F290" s="254">
        <v>9.0850000000000009</v>
      </c>
      <c r="G290" s="174" t="s">
        <v>2018</v>
      </c>
      <c r="H290" s="34" t="s">
        <v>1992</v>
      </c>
      <c r="I290" s="34" t="s">
        <v>1992</v>
      </c>
      <c r="J290" s="20" t="s">
        <v>1992</v>
      </c>
      <c r="K290" s="34" t="s">
        <v>1992</v>
      </c>
      <c r="L290" s="34" t="s">
        <v>1992</v>
      </c>
      <c r="M290" s="34"/>
      <c r="N290" s="34"/>
      <c r="O290" s="34"/>
      <c r="P290" s="102"/>
      <c r="Q290" s="34"/>
      <c r="R290" s="102"/>
    </row>
    <row r="291" spans="1:18" ht="16.5" x14ac:dyDescent="0.35">
      <c r="A291" s="34" t="s">
        <v>1989</v>
      </c>
      <c r="B291" s="34" t="s">
        <v>2001</v>
      </c>
      <c r="C291" s="20" t="s">
        <v>350</v>
      </c>
      <c r="D291" s="34">
        <v>6</v>
      </c>
      <c r="E291" s="34">
        <v>30</v>
      </c>
      <c r="F291" s="254">
        <v>1.9350000000000001</v>
      </c>
      <c r="G291" s="174"/>
      <c r="H291" s="34" t="s">
        <v>1992</v>
      </c>
      <c r="I291" s="34" t="s">
        <v>1992</v>
      </c>
      <c r="J291" s="20" t="s">
        <v>1992</v>
      </c>
      <c r="K291" s="34" t="s">
        <v>1992</v>
      </c>
      <c r="L291" s="34" t="s">
        <v>1992</v>
      </c>
      <c r="M291" s="34"/>
      <c r="N291" s="34"/>
      <c r="O291" s="34"/>
      <c r="P291" s="102"/>
      <c r="Q291" s="34"/>
      <c r="R291" s="102"/>
    </row>
    <row r="292" spans="1:18" ht="16.5" x14ac:dyDescent="0.35">
      <c r="A292" s="34" t="s">
        <v>1986</v>
      </c>
      <c r="B292" s="34" t="s">
        <v>1986</v>
      </c>
      <c r="C292" s="20" t="s">
        <v>351</v>
      </c>
      <c r="D292" s="34">
        <v>9</v>
      </c>
      <c r="E292" s="34">
        <v>30</v>
      </c>
      <c r="F292" s="254">
        <v>0</v>
      </c>
      <c r="G292" s="174" t="s">
        <v>572</v>
      </c>
      <c r="H292" s="34" t="s">
        <v>1643</v>
      </c>
      <c r="I292" s="34">
        <v>11</v>
      </c>
      <c r="J292" s="104" t="str">
        <f>HYPERLINK("https://www.examplebusiness.com/resource-center/insurance/medicare-vs-medicaid","https://www.examplebusiness.com/resource-center/insurance/medicare-vs-medicaid")</f>
        <v>https://www.examplebusiness.com/resource-center/insurance/medicare-vs-medicaid</v>
      </c>
      <c r="K292" s="34" t="s">
        <v>1643</v>
      </c>
      <c r="L292" s="34" t="s">
        <v>1643</v>
      </c>
      <c r="M292" s="34"/>
      <c r="N292" s="34"/>
      <c r="O292" s="34"/>
      <c r="P292" s="102"/>
      <c r="Q292" s="34"/>
      <c r="R292" s="102"/>
    </row>
    <row r="293" spans="1:18" ht="16.5" x14ac:dyDescent="0.35">
      <c r="A293" s="34" t="s">
        <v>1986</v>
      </c>
      <c r="B293" s="34" t="s">
        <v>1986</v>
      </c>
      <c r="C293" s="20" t="s">
        <v>352</v>
      </c>
      <c r="D293" s="34">
        <v>0</v>
      </c>
      <c r="E293" s="34">
        <v>30</v>
      </c>
      <c r="F293" s="254">
        <v>0</v>
      </c>
      <c r="G293" s="174" t="s">
        <v>570</v>
      </c>
      <c r="H293" s="34" t="s">
        <v>1643</v>
      </c>
      <c r="I293" s="34">
        <v>3</v>
      </c>
      <c r="J293" s="104" t="str">
        <f>HYPERLINK("https://www.examplebusiness.com/team/amy-lemke","https://www.examplebusiness.com/team/amy-lemke")</f>
        <v>https://www.examplebusiness.com/team/amy-lemke</v>
      </c>
      <c r="K293" s="34" t="s">
        <v>1643</v>
      </c>
      <c r="L293" s="34" t="s">
        <v>1642</v>
      </c>
      <c r="M293" s="34"/>
      <c r="N293" s="34"/>
      <c r="O293" s="34"/>
      <c r="P293" s="102"/>
      <c r="Q293" s="34"/>
      <c r="R293" s="102"/>
    </row>
    <row r="294" spans="1:18" ht="16.5" x14ac:dyDescent="0.35">
      <c r="A294" s="34" t="s">
        <v>1986</v>
      </c>
      <c r="B294" s="34" t="s">
        <v>1986</v>
      </c>
      <c r="C294" s="20" t="s">
        <v>353</v>
      </c>
      <c r="D294" s="34">
        <v>5</v>
      </c>
      <c r="E294" s="34">
        <v>30</v>
      </c>
      <c r="F294" s="254">
        <v>0</v>
      </c>
      <c r="G294" s="174" t="s">
        <v>568</v>
      </c>
      <c r="H294" s="34" t="s">
        <v>1643</v>
      </c>
      <c r="I294" s="34">
        <v>33</v>
      </c>
      <c r="J294" s="104" t="str">
        <f>HYPERLINK("https://www.examplebusiness.com/resource-center/insurance/assess-your-life-insurance-needs","https://www.examplebusiness.com/resource-center/insurance/assess-your-life-insurance-needs")</f>
        <v>https://www.examplebusiness.com/resource-center/insurance/assess-your-life-insurance-needs</v>
      </c>
      <c r="K294" s="34" t="s">
        <v>1643</v>
      </c>
      <c r="L294" s="34" t="s">
        <v>1643</v>
      </c>
      <c r="M294" s="34"/>
      <c r="N294" s="34"/>
      <c r="O294" s="34"/>
      <c r="P294" s="102"/>
      <c r="Q294" s="34"/>
      <c r="R294" s="102"/>
    </row>
    <row r="295" spans="1:18" ht="16.5" x14ac:dyDescent="0.35">
      <c r="A295" s="34" t="s">
        <v>1993</v>
      </c>
      <c r="B295" s="34" t="s">
        <v>1987</v>
      </c>
      <c r="C295" s="20" t="s">
        <v>354</v>
      </c>
      <c r="D295" s="34">
        <v>24</v>
      </c>
      <c r="E295" s="34">
        <v>30</v>
      </c>
      <c r="F295" s="254">
        <v>22.41</v>
      </c>
      <c r="G295" s="174" t="s">
        <v>603</v>
      </c>
      <c r="H295" s="34" t="s">
        <v>1643</v>
      </c>
      <c r="I295" s="34">
        <v>33</v>
      </c>
      <c r="J295" s="104" t="str">
        <f>HYPERLINK("https://www.examplebusiness.com/tax-planning-strategies","https://www.examplebusiness.com/tax-planning-strategies")</f>
        <v>https://www.examplebusiness.com/tax-planning-strategies</v>
      </c>
      <c r="K295" s="34" t="s">
        <v>1643</v>
      </c>
      <c r="L295" s="34" t="s">
        <v>1643</v>
      </c>
      <c r="M295" s="34"/>
      <c r="N295" s="34"/>
      <c r="O295" s="34"/>
      <c r="P295" s="102"/>
      <c r="Q295" s="34"/>
      <c r="R295" s="102"/>
    </row>
    <row r="296" spans="1:18" ht="16.5" x14ac:dyDescent="0.35">
      <c r="A296" s="34" t="s">
        <v>1986</v>
      </c>
      <c r="B296" s="34" t="s">
        <v>1986</v>
      </c>
      <c r="C296" s="20" t="s">
        <v>355</v>
      </c>
      <c r="D296" s="34">
        <v>0</v>
      </c>
      <c r="E296" s="34">
        <v>30</v>
      </c>
      <c r="F296" s="254">
        <v>0</v>
      </c>
      <c r="G296" s="174" t="s">
        <v>604</v>
      </c>
      <c r="H296" s="34" t="s">
        <v>1643</v>
      </c>
      <c r="I296" s="34">
        <v>39</v>
      </c>
      <c r="J296" s="104" t="str">
        <f>HYPERLINK("https://www.examplebusiness.com/blog/ira-vs-401k-what-savers-should-know","https://www.examplebusiness.com/blog/ira-vs-401k-what-savers-should-know")</f>
        <v>https://www.examplebusiness.com/blog/ira-vs-401k-what-savers-should-know</v>
      </c>
      <c r="K296" s="34" t="s">
        <v>1643</v>
      </c>
      <c r="L296" s="34" t="s">
        <v>1643</v>
      </c>
      <c r="M296" s="34"/>
      <c r="N296" s="34"/>
      <c r="O296" s="34"/>
      <c r="P296" s="102"/>
      <c r="Q296" s="34"/>
      <c r="R296" s="102"/>
    </row>
    <row r="297" spans="1:18" ht="16.5" x14ac:dyDescent="0.35">
      <c r="A297" s="34" t="s">
        <v>1986</v>
      </c>
      <c r="B297" s="34" t="s">
        <v>1986</v>
      </c>
      <c r="C297" s="20" t="s">
        <v>356</v>
      </c>
      <c r="D297" s="34">
        <v>0</v>
      </c>
      <c r="E297" s="34">
        <v>30</v>
      </c>
      <c r="F297" s="254">
        <v>5.95</v>
      </c>
      <c r="G297" s="174" t="s">
        <v>601</v>
      </c>
      <c r="H297" s="34" t="s">
        <v>1643</v>
      </c>
      <c r="I297" s="34">
        <v>39</v>
      </c>
      <c r="J297" s="104" t="str">
        <f>HYPERLINK("https://www.examplebusiness.com/team/robert-withers-1","https://www.examplebusiness.com/team/robert-withers-1")</f>
        <v>https://www.examplebusiness.com/team/robert-withers-1</v>
      </c>
      <c r="K297" s="34" t="s">
        <v>1643</v>
      </c>
      <c r="L297" s="34" t="s">
        <v>1643</v>
      </c>
      <c r="M297" s="34"/>
      <c r="N297" s="34"/>
      <c r="O297" s="34"/>
      <c r="P297" s="102"/>
      <c r="Q297" s="34"/>
      <c r="R297" s="102"/>
    </row>
    <row r="298" spans="1:18" ht="16.5" x14ac:dyDescent="0.35">
      <c r="A298" s="34" t="s">
        <v>1986</v>
      </c>
      <c r="B298" s="34" t="s">
        <v>1987</v>
      </c>
      <c r="C298" s="20" t="s">
        <v>357</v>
      </c>
      <c r="D298" s="34">
        <v>47</v>
      </c>
      <c r="E298" s="34">
        <v>30</v>
      </c>
      <c r="F298" s="254" t="s">
        <v>70</v>
      </c>
      <c r="G298" s="174" t="s">
        <v>572</v>
      </c>
      <c r="H298" s="34" t="s">
        <v>1643</v>
      </c>
      <c r="I298" s="34">
        <v>39</v>
      </c>
      <c r="J298" s="104" t="str">
        <f>HYPERLINK("https://www.examplebusiness.com/blog/socially-responsible-investing","https://www.examplebusiness.com/blog/socially-responsible-investing")</f>
        <v>https://www.examplebusiness.com/blog/socially-responsible-investing</v>
      </c>
      <c r="K298" s="34" t="s">
        <v>1643</v>
      </c>
      <c r="L298" s="34" t="s">
        <v>1643</v>
      </c>
      <c r="M298" s="34"/>
      <c r="N298" s="34"/>
      <c r="O298" s="34"/>
      <c r="P298" s="102"/>
      <c r="Q298" s="34"/>
      <c r="R298" s="102"/>
    </row>
    <row r="299" spans="1:18" ht="16.5" x14ac:dyDescent="0.35">
      <c r="A299" s="34" t="s">
        <v>1986</v>
      </c>
      <c r="B299" s="34" t="s">
        <v>1986</v>
      </c>
      <c r="C299" s="20" t="s">
        <v>358</v>
      </c>
      <c r="D299" s="34">
        <v>19</v>
      </c>
      <c r="E299" s="34">
        <v>30</v>
      </c>
      <c r="F299" s="254">
        <v>0</v>
      </c>
      <c r="G299" s="174" t="s">
        <v>601</v>
      </c>
      <c r="H299" s="34" t="s">
        <v>1643</v>
      </c>
      <c r="I299" s="34">
        <v>44</v>
      </c>
      <c r="J299" s="104" t="str">
        <f>HYPERLINK("https://www.examplebusiness.com/blog","https://www.examplebusiness.com/blog")</f>
        <v>https://www.examplebusiness.com/blog</v>
      </c>
      <c r="K299" s="34" t="s">
        <v>1643</v>
      </c>
      <c r="L299" s="34" t="s">
        <v>1643</v>
      </c>
      <c r="M299" s="34"/>
      <c r="N299" s="34"/>
      <c r="O299" s="34"/>
      <c r="P299" s="102"/>
      <c r="Q299" s="34"/>
      <c r="R299" s="102"/>
    </row>
    <row r="300" spans="1:18" ht="16.5" x14ac:dyDescent="0.35">
      <c r="A300" s="34" t="s">
        <v>1986</v>
      </c>
      <c r="B300" s="34" t="s">
        <v>1986</v>
      </c>
      <c r="C300" s="20" t="s">
        <v>359</v>
      </c>
      <c r="D300" s="34">
        <v>0</v>
      </c>
      <c r="E300" s="34">
        <v>30</v>
      </c>
      <c r="F300" s="254" t="s">
        <v>70</v>
      </c>
      <c r="G300" s="174" t="s">
        <v>617</v>
      </c>
      <c r="H300" s="34" t="s">
        <v>1643</v>
      </c>
      <c r="I300" s="34">
        <v>50</v>
      </c>
      <c r="J300" s="104" t="str">
        <f>HYPERLINK("https://www.examplebusiness.com/blog/12-estate-planning-must-dos","https://www.examplebusiness.com/blog/12-estate-planning-must-dos")</f>
        <v>https://www.examplebusiness.com/blog/12-estate-planning-must-dos</v>
      </c>
      <c r="K300" s="34" t="s">
        <v>1643</v>
      </c>
      <c r="L300" s="34" t="s">
        <v>1643</v>
      </c>
      <c r="M300" s="34"/>
      <c r="N300" s="34"/>
      <c r="O300" s="34"/>
      <c r="P300" s="102"/>
      <c r="Q300" s="34"/>
      <c r="R300" s="102"/>
    </row>
    <row r="301" spans="1:18" ht="16.5" x14ac:dyDescent="0.35">
      <c r="A301" s="34" t="s">
        <v>1988</v>
      </c>
      <c r="B301" s="34" t="s">
        <v>1986</v>
      </c>
      <c r="C301" s="20" t="s">
        <v>360</v>
      </c>
      <c r="D301" s="34">
        <v>6</v>
      </c>
      <c r="E301" s="34">
        <v>30</v>
      </c>
      <c r="F301" s="254">
        <v>0</v>
      </c>
      <c r="G301" s="174" t="s">
        <v>588</v>
      </c>
      <c r="H301" s="34" t="s">
        <v>1643</v>
      </c>
      <c r="I301" s="34">
        <v>51</v>
      </c>
      <c r="J301" s="104" t="str">
        <f>HYPERLINK("https://www.examplebusiness.com/resource-center/money/life-and-death-of-a-20-dollar-bill","https://www.examplebusiness.com/resource-center/money/life-and-death-of-a-20-dollar-bill")</f>
        <v>https://www.examplebusiness.com/resource-center/money/life-and-death-of-a-20-dollar-bill</v>
      </c>
      <c r="K301" s="34" t="s">
        <v>1643</v>
      </c>
      <c r="L301" s="34" t="s">
        <v>1643</v>
      </c>
      <c r="M301" s="34"/>
      <c r="N301" s="34"/>
      <c r="O301" s="34"/>
      <c r="P301" s="102"/>
      <c r="Q301" s="34"/>
      <c r="R301" s="102"/>
    </row>
    <row r="302" spans="1:18" ht="16.5" x14ac:dyDescent="0.35">
      <c r="A302" s="34" t="s">
        <v>1986</v>
      </c>
      <c r="B302" s="34" t="s">
        <v>1986</v>
      </c>
      <c r="C302" s="20" t="s">
        <v>361</v>
      </c>
      <c r="D302" s="34">
        <v>72</v>
      </c>
      <c r="E302" s="34">
        <v>30</v>
      </c>
      <c r="F302" s="254">
        <v>0</v>
      </c>
      <c r="G302" s="174" t="s">
        <v>600</v>
      </c>
      <c r="H302" s="34" t="s">
        <v>1643</v>
      </c>
      <c r="I302" s="34">
        <v>51</v>
      </c>
      <c r="J302" s="104" t="str">
        <f>HYPERLINK("https://www.examplebusiness.com/blog/when-will-the-recession-officially-start","https://www.examplebusiness.com/blog/when-will-the-recession-officially-start")</f>
        <v>https://www.examplebusiness.com/blog/when-will-the-recession-officially-start</v>
      </c>
      <c r="K302" s="34" t="s">
        <v>1643</v>
      </c>
      <c r="L302" s="34" t="s">
        <v>1643</v>
      </c>
      <c r="M302" s="34"/>
      <c r="N302" s="34"/>
      <c r="O302" s="34"/>
      <c r="P302" s="102"/>
      <c r="Q302" s="34"/>
      <c r="R302" s="102"/>
    </row>
    <row r="303" spans="1:18" ht="16.5" x14ac:dyDescent="0.35">
      <c r="A303" s="34" t="s">
        <v>1986</v>
      </c>
      <c r="B303" s="34" t="s">
        <v>1986</v>
      </c>
      <c r="C303" s="20" t="s">
        <v>362</v>
      </c>
      <c r="D303" s="34">
        <v>8</v>
      </c>
      <c r="E303" s="34">
        <v>30</v>
      </c>
      <c r="F303" s="254">
        <v>0</v>
      </c>
      <c r="G303" s="174" t="s">
        <v>594</v>
      </c>
      <c r="H303" s="34" t="s">
        <v>1643</v>
      </c>
      <c r="I303" s="34">
        <v>54</v>
      </c>
      <c r="J303" s="104" t="str">
        <f>HYPERLINK("https://www.examplebusiness.com/resource-center/lifestyle/the-Example-literacy-crisis","https://www.examplebusiness.com/resource-center/lifestyle/the-Example-literacy-crisis")</f>
        <v>https://www.examplebusiness.com/resource-center/lifestyle/the-Example-literacy-crisis</v>
      </c>
      <c r="K303" s="34" t="s">
        <v>1643</v>
      </c>
      <c r="L303" s="34" t="s">
        <v>1643</v>
      </c>
      <c r="M303" s="34"/>
      <c r="N303" s="34"/>
      <c r="O303" s="34"/>
      <c r="P303" s="102"/>
      <c r="Q303" s="34"/>
      <c r="R303" s="102"/>
    </row>
    <row r="304" spans="1:18" ht="16.5" x14ac:dyDescent="0.35">
      <c r="A304" s="34" t="s">
        <v>1986</v>
      </c>
      <c r="B304" s="34" t="s">
        <v>1986</v>
      </c>
      <c r="C304" s="20" t="s">
        <v>363</v>
      </c>
      <c r="D304" s="34">
        <v>45</v>
      </c>
      <c r="E304" s="34">
        <v>30</v>
      </c>
      <c r="F304" s="254">
        <v>0.99</v>
      </c>
      <c r="G304" s="174" t="s">
        <v>603</v>
      </c>
      <c r="H304" s="34" t="s">
        <v>1643</v>
      </c>
      <c r="I304" s="34">
        <v>59</v>
      </c>
      <c r="J304" s="104" t="str">
        <f>HYPERLINK("https://www.examplebusiness.com/resource-center/retirement/social-security-the-64000-dollar-question","https://www.examplebusiness.com/resource-center/retirement/social-security-the-64000-dollar-question")</f>
        <v>https://www.examplebusiness.com/resource-center/retirement/social-security-the-64000-dollar-question</v>
      </c>
      <c r="K304" s="34" t="s">
        <v>1643</v>
      </c>
      <c r="L304" s="34" t="s">
        <v>1643</v>
      </c>
      <c r="M304" s="34"/>
      <c r="N304" s="34"/>
      <c r="O304" s="34"/>
      <c r="P304" s="102"/>
      <c r="Q304" s="34"/>
      <c r="R304" s="102"/>
    </row>
    <row r="305" spans="1:18" ht="16.5" x14ac:dyDescent="0.35">
      <c r="A305" s="34" t="s">
        <v>1988</v>
      </c>
      <c r="B305" s="34" t="s">
        <v>1986</v>
      </c>
      <c r="C305" s="20" t="s">
        <v>364</v>
      </c>
      <c r="D305" s="34">
        <v>28</v>
      </c>
      <c r="E305" s="34">
        <v>30</v>
      </c>
      <c r="F305" s="254" t="s">
        <v>70</v>
      </c>
      <c r="G305" s="174" t="s">
        <v>627</v>
      </c>
      <c r="H305" s="34" t="s">
        <v>1643</v>
      </c>
      <c r="I305" s="34">
        <v>60</v>
      </c>
      <c r="J305" s="104" t="str">
        <f>HYPERLINK("https://www.examplebusiness.com/resource-center/investment/global-vs-international-whats-the-difference","https://www.examplebusiness.com/resource-center/investment/global-vs-international-whats-the-difference")</f>
        <v>https://www.examplebusiness.com/resource-center/investment/global-vs-international-whats-the-difference</v>
      </c>
      <c r="K305" s="34" t="s">
        <v>1643</v>
      </c>
      <c r="L305" s="34" t="s">
        <v>1643</v>
      </c>
      <c r="M305" s="34"/>
      <c r="N305" s="34"/>
      <c r="O305" s="34"/>
      <c r="P305" s="102"/>
      <c r="Q305" s="34"/>
      <c r="R305" s="102"/>
    </row>
    <row r="306" spans="1:18" ht="16.5" x14ac:dyDescent="0.35">
      <c r="A306" s="34" t="s">
        <v>1986</v>
      </c>
      <c r="B306" s="34" t="s">
        <v>1986</v>
      </c>
      <c r="C306" s="20" t="s">
        <v>365</v>
      </c>
      <c r="D306" s="34">
        <v>5</v>
      </c>
      <c r="E306" s="34">
        <v>30</v>
      </c>
      <c r="F306" s="254">
        <v>0</v>
      </c>
      <c r="G306" s="174" t="s">
        <v>632</v>
      </c>
      <c r="H306" s="34" t="s">
        <v>1643</v>
      </c>
      <c r="I306" s="34">
        <v>63</v>
      </c>
      <c r="J306" s="104" t="str">
        <f>HYPERLINK("https://www.examplebusiness.com/resource-center/money/life-and-death-of-a-20-dollar-bill","https://www.examplebusiness.com/resource-center/money/life-and-death-of-a-20-dollar-bill")</f>
        <v>https://www.examplebusiness.com/resource-center/money/life-and-death-of-a-20-dollar-bill</v>
      </c>
      <c r="K306" s="34" t="s">
        <v>1643</v>
      </c>
      <c r="L306" s="34" t="s">
        <v>1643</v>
      </c>
      <c r="M306" s="34"/>
      <c r="N306" s="34"/>
      <c r="O306" s="34"/>
      <c r="P306" s="102"/>
      <c r="Q306" s="34"/>
      <c r="R306" s="102"/>
    </row>
    <row r="307" spans="1:18" ht="16.5" x14ac:dyDescent="0.35">
      <c r="A307" s="34" t="s">
        <v>1988</v>
      </c>
      <c r="B307" s="34" t="s">
        <v>1987</v>
      </c>
      <c r="C307" s="20" t="s">
        <v>366</v>
      </c>
      <c r="D307" s="34">
        <v>51</v>
      </c>
      <c r="E307" s="34">
        <v>30</v>
      </c>
      <c r="F307" s="254">
        <v>14.8</v>
      </c>
      <c r="G307" s="174" t="s">
        <v>588</v>
      </c>
      <c r="H307" s="34" t="s">
        <v>1643</v>
      </c>
      <c r="I307" s="34">
        <v>73</v>
      </c>
      <c r="J307" s="104" t="str">
        <f>HYPERLINK("https://www.examplebusiness.com/blog/socially-responsible-investing","https://www.examplebusiness.com/blog/socially-responsible-investing")</f>
        <v>https://www.examplebusiness.com/blog/socially-responsible-investing</v>
      </c>
      <c r="K307" s="34" t="s">
        <v>1643</v>
      </c>
      <c r="L307" s="34" t="s">
        <v>1643</v>
      </c>
      <c r="M307" s="34"/>
      <c r="N307" s="34"/>
      <c r="O307" s="34"/>
      <c r="P307" s="102"/>
      <c r="Q307" s="34"/>
      <c r="R307" s="102"/>
    </row>
    <row r="308" spans="1:18" ht="16.5" x14ac:dyDescent="0.35">
      <c r="A308" s="34" t="s">
        <v>1986</v>
      </c>
      <c r="B308" s="34" t="s">
        <v>1986</v>
      </c>
      <c r="C308" s="20" t="s">
        <v>367</v>
      </c>
      <c r="D308" s="34">
        <v>0</v>
      </c>
      <c r="E308" s="34">
        <v>30</v>
      </c>
      <c r="F308" s="254">
        <v>0</v>
      </c>
      <c r="G308" s="174" t="s">
        <v>574</v>
      </c>
      <c r="H308" s="34" t="s">
        <v>1643</v>
      </c>
      <c r="I308" s="34">
        <v>73</v>
      </c>
      <c r="J308" s="104" t="str">
        <f>HYPERLINK("https://www.examplebusiness.com/blog/abc-Example-acquires-true-north-capital-alliance","https://www.examplebusiness.com/blog/abc-Example-acquires-true-north-capital-alliance")</f>
        <v>https://www.examplebusiness.com/blog/abc-Example-acquires-true-north-capital-alliance</v>
      </c>
      <c r="K308" s="34" t="s">
        <v>1643</v>
      </c>
      <c r="L308" s="34" t="s">
        <v>1643</v>
      </c>
      <c r="M308" s="34"/>
      <c r="N308" s="34"/>
      <c r="O308" s="34"/>
      <c r="P308" s="102"/>
      <c r="Q308" s="34"/>
      <c r="R308" s="102"/>
    </row>
    <row r="309" spans="1:18" ht="16.5" x14ac:dyDescent="0.35">
      <c r="A309" s="34" t="s">
        <v>1986</v>
      </c>
      <c r="B309" s="34" t="s">
        <v>1986</v>
      </c>
      <c r="C309" s="20" t="s">
        <v>368</v>
      </c>
      <c r="D309" s="34">
        <v>34</v>
      </c>
      <c r="E309" s="34">
        <v>30</v>
      </c>
      <c r="F309" s="254">
        <v>22.34</v>
      </c>
      <c r="G309" s="174" t="s">
        <v>645</v>
      </c>
      <c r="H309" s="34" t="s">
        <v>1643</v>
      </c>
      <c r="I309" s="34">
        <v>80</v>
      </c>
      <c r="J309" s="104" t="str">
        <f>HYPERLINK("https://www.examplebusiness.com/tax-planning-strategies","https://www.examplebusiness.com/tax-planning-strategies")</f>
        <v>https://www.examplebusiness.com/tax-planning-strategies</v>
      </c>
      <c r="K309" s="34" t="s">
        <v>1643</v>
      </c>
      <c r="L309" s="34" t="s">
        <v>1643</v>
      </c>
      <c r="M309" s="34"/>
      <c r="N309" s="34"/>
      <c r="O309" s="34"/>
      <c r="P309" s="102"/>
      <c r="Q309" s="34"/>
      <c r="R309" s="102"/>
    </row>
    <row r="310" spans="1:18" ht="16.5" x14ac:dyDescent="0.35">
      <c r="A310" s="34" t="s">
        <v>1993</v>
      </c>
      <c r="B310" s="34" t="s">
        <v>1990</v>
      </c>
      <c r="C310" s="20" t="s">
        <v>369</v>
      </c>
      <c r="D310" s="34">
        <v>0</v>
      </c>
      <c r="E310" s="34">
        <v>30</v>
      </c>
      <c r="F310" s="254">
        <v>0.34</v>
      </c>
      <c r="G310" s="174" t="s">
        <v>571</v>
      </c>
      <c r="H310" s="34" t="s">
        <v>1643</v>
      </c>
      <c r="I310" s="34">
        <v>77</v>
      </c>
      <c r="J310" s="104" t="str">
        <f>HYPERLINK("https://www.examplebusiness.com/","https://www.examplebusiness.com/")</f>
        <v>https://www.examplebusiness.com/</v>
      </c>
      <c r="K310" s="34" t="s">
        <v>1643</v>
      </c>
      <c r="L310" s="34" t="s">
        <v>1643</v>
      </c>
      <c r="M310" s="34"/>
      <c r="N310" s="34"/>
      <c r="O310" s="34"/>
      <c r="P310" s="102"/>
      <c r="Q310" s="34"/>
      <c r="R310" s="102"/>
    </row>
    <row r="311" spans="1:18" ht="16.5" x14ac:dyDescent="0.35">
      <c r="A311" s="34" t="s">
        <v>1986</v>
      </c>
      <c r="B311" s="34" t="s">
        <v>1986</v>
      </c>
      <c r="C311" s="20" t="s">
        <v>370</v>
      </c>
      <c r="D311" s="34">
        <v>0</v>
      </c>
      <c r="E311" s="34">
        <v>30</v>
      </c>
      <c r="F311" s="254">
        <v>0</v>
      </c>
      <c r="G311" s="174" t="s">
        <v>647</v>
      </c>
      <c r="H311" s="34" t="s">
        <v>1643</v>
      </c>
      <c r="I311" s="34">
        <v>82</v>
      </c>
      <c r="J311" s="104" t="str">
        <f>HYPERLINK("https://www.examplebusiness.com/team/mike-rogers-1","https://www.examplebusiness.com/team/mike-rogers-1")</f>
        <v>https://www.examplebusiness.com/team/mike-rogers-1</v>
      </c>
      <c r="K311" s="34" t="s">
        <v>1643</v>
      </c>
      <c r="L311" s="34" t="s">
        <v>1643</v>
      </c>
      <c r="M311" s="34"/>
      <c r="N311" s="34"/>
      <c r="O311" s="34"/>
      <c r="P311" s="102"/>
      <c r="Q311" s="34"/>
      <c r="R311" s="102"/>
    </row>
    <row r="312" spans="1:18" ht="16.5" x14ac:dyDescent="0.35">
      <c r="A312" s="34" t="s">
        <v>1986</v>
      </c>
      <c r="B312" s="34" t="s">
        <v>1986</v>
      </c>
      <c r="C312" s="20" t="s">
        <v>371</v>
      </c>
      <c r="D312" s="34">
        <v>0</v>
      </c>
      <c r="E312" s="34">
        <v>30</v>
      </c>
      <c r="F312" s="254">
        <v>0</v>
      </c>
      <c r="G312" s="174" t="s">
        <v>570</v>
      </c>
      <c r="H312" s="34" t="s">
        <v>1643</v>
      </c>
      <c r="I312" s="34">
        <v>87</v>
      </c>
      <c r="J312" s="104" t="str">
        <f>HYPERLINK("https://www.examplebusiness.com/","https://www.examplebusiness.com/")</f>
        <v>https://www.examplebusiness.com/</v>
      </c>
      <c r="K312" s="34" t="s">
        <v>1643</v>
      </c>
      <c r="L312" s="34" t="s">
        <v>1643</v>
      </c>
      <c r="M312" s="34"/>
      <c r="N312" s="34"/>
      <c r="O312" s="34"/>
      <c r="P312" s="102"/>
      <c r="Q312" s="34"/>
      <c r="R312" s="102"/>
    </row>
    <row r="313" spans="1:18" ht="16.5" x14ac:dyDescent="0.35">
      <c r="A313" s="34" t="s">
        <v>1986</v>
      </c>
      <c r="B313" s="34" t="s">
        <v>1986</v>
      </c>
      <c r="C313" s="20" t="s">
        <v>372</v>
      </c>
      <c r="D313" s="34">
        <v>12</v>
      </c>
      <c r="E313" s="34">
        <v>30</v>
      </c>
      <c r="F313" s="254">
        <v>0</v>
      </c>
      <c r="G313" s="174" t="s">
        <v>659</v>
      </c>
      <c r="H313" s="34" t="s">
        <v>1643</v>
      </c>
      <c r="I313" s="34">
        <v>87</v>
      </c>
      <c r="J313" s="104" t="str">
        <f>HYPERLINK("https://www.examplebusiness.com/resource-center/money/life-and-death-of-a-20-dollar-bill","https://www.examplebusiness.com/resource-center/money/life-and-death-of-a-20-dollar-bill")</f>
        <v>https://www.examplebusiness.com/resource-center/money/life-and-death-of-a-20-dollar-bill</v>
      </c>
      <c r="K313" s="34" t="s">
        <v>1643</v>
      </c>
      <c r="L313" s="34" t="s">
        <v>1643</v>
      </c>
      <c r="M313" s="34"/>
      <c r="N313" s="34"/>
      <c r="O313" s="34"/>
      <c r="P313" s="102"/>
      <c r="Q313" s="34"/>
      <c r="R313" s="102"/>
    </row>
    <row r="314" spans="1:18" ht="16.5" x14ac:dyDescent="0.35">
      <c r="A314" s="34" t="s">
        <v>1986</v>
      </c>
      <c r="B314" s="34" t="s">
        <v>1986</v>
      </c>
      <c r="C314" s="20" t="s">
        <v>373</v>
      </c>
      <c r="D314" s="34">
        <v>45</v>
      </c>
      <c r="E314" s="34">
        <v>30</v>
      </c>
      <c r="F314" s="254">
        <v>0</v>
      </c>
      <c r="G314" s="174" t="s">
        <v>648</v>
      </c>
      <c r="H314" s="34" t="s">
        <v>1643</v>
      </c>
      <c r="I314" s="34">
        <v>90</v>
      </c>
      <c r="J314" s="104" t="str">
        <f>HYPERLINK("https://www.examplebusiness.com/","https://www.examplebusiness.com/")</f>
        <v>https://www.examplebusiness.com/</v>
      </c>
      <c r="K314" s="34" t="s">
        <v>1643</v>
      </c>
      <c r="L314" s="34" t="s">
        <v>1643</v>
      </c>
      <c r="M314" s="34"/>
      <c r="N314" s="34"/>
      <c r="O314" s="34"/>
      <c r="P314" s="102"/>
      <c r="Q314" s="34"/>
      <c r="R314" s="102"/>
    </row>
    <row r="315" spans="1:18" ht="16.5" x14ac:dyDescent="0.35">
      <c r="A315" s="34" t="s">
        <v>1993</v>
      </c>
      <c r="B315" s="34" t="s">
        <v>1990</v>
      </c>
      <c r="C315" s="20" t="s">
        <v>374</v>
      </c>
      <c r="D315" s="34">
        <v>39</v>
      </c>
      <c r="E315" s="34">
        <v>30</v>
      </c>
      <c r="F315" s="254">
        <v>12.36</v>
      </c>
      <c r="G315" s="174" t="s">
        <v>656</v>
      </c>
      <c r="H315" s="34" t="s">
        <v>1643</v>
      </c>
      <c r="I315" s="34">
        <v>92</v>
      </c>
      <c r="J315" s="104" t="str">
        <f>HYPERLINK("https://www.examplebusiness.com/tax-planning-strategies","https://www.examplebusiness.com/tax-planning-strategies")</f>
        <v>https://www.examplebusiness.com/tax-planning-strategies</v>
      </c>
      <c r="K315" s="34" t="s">
        <v>1643</v>
      </c>
      <c r="L315" s="34" t="s">
        <v>1643</v>
      </c>
      <c r="M315" s="34"/>
      <c r="N315" s="34"/>
      <c r="O315" s="34"/>
      <c r="P315" s="102"/>
      <c r="Q315" s="34"/>
      <c r="R315" s="102"/>
    </row>
    <row r="316" spans="1:18" ht="16.5" x14ac:dyDescent="0.35">
      <c r="A316" s="34" t="s">
        <v>1986</v>
      </c>
      <c r="B316" s="34" t="s">
        <v>1986</v>
      </c>
      <c r="C316" s="20" t="s">
        <v>375</v>
      </c>
      <c r="D316" s="34">
        <v>0</v>
      </c>
      <c r="E316" s="34">
        <v>30</v>
      </c>
      <c r="F316" s="254">
        <v>0.01</v>
      </c>
      <c r="G316" s="174" t="s">
        <v>667</v>
      </c>
      <c r="H316" s="34" t="s">
        <v>1643</v>
      </c>
      <c r="I316" s="34">
        <v>93</v>
      </c>
      <c r="J316" s="104" t="str">
        <f>HYPERLINK("https://www.examplebusiness.com/resource-center/money/life-and-death-of-a-20-dollar-bill","https://www.examplebusiness.com/resource-center/money/life-and-death-of-a-20-dollar-bill")</f>
        <v>https://www.examplebusiness.com/resource-center/money/life-and-death-of-a-20-dollar-bill</v>
      </c>
      <c r="K316" s="34" t="s">
        <v>1643</v>
      </c>
      <c r="L316" s="34" t="s">
        <v>1643</v>
      </c>
      <c r="M316" s="34"/>
      <c r="N316" s="34"/>
      <c r="O316" s="34"/>
      <c r="P316" s="102"/>
      <c r="Q316" s="34"/>
      <c r="R316" s="102"/>
    </row>
    <row r="317" spans="1:18" ht="16.5" x14ac:dyDescent="0.35">
      <c r="A317" s="34" t="s">
        <v>1986</v>
      </c>
      <c r="B317" s="34" t="s">
        <v>1986</v>
      </c>
      <c r="C317" s="20" t="s">
        <v>376</v>
      </c>
      <c r="D317" s="34">
        <v>11</v>
      </c>
      <c r="E317" s="34">
        <v>30</v>
      </c>
      <c r="F317" s="254">
        <v>0.01</v>
      </c>
      <c r="G317" s="174" t="s">
        <v>668</v>
      </c>
      <c r="H317" s="34" t="s">
        <v>1643</v>
      </c>
      <c r="I317" s="34">
        <v>96</v>
      </c>
      <c r="J317" s="104" t="str">
        <f>HYPERLINK("https://www.examplebusiness.com/resource-center/money/life-and-death-of-a-20-dollar-bill","https://www.examplebusiness.com/resource-center/money/life-and-death-of-a-20-dollar-bill")</f>
        <v>https://www.examplebusiness.com/resource-center/money/life-and-death-of-a-20-dollar-bill</v>
      </c>
      <c r="K317" s="34" t="s">
        <v>1643</v>
      </c>
      <c r="L317" s="34" t="s">
        <v>1643</v>
      </c>
      <c r="M317" s="34"/>
      <c r="N317" s="34"/>
      <c r="O317" s="34"/>
      <c r="P317" s="102"/>
      <c r="Q317" s="34"/>
      <c r="R317" s="102"/>
    </row>
    <row r="318" spans="1:18" ht="16.5" x14ac:dyDescent="0.35">
      <c r="A318" s="34" t="s">
        <v>1989</v>
      </c>
      <c r="B318" s="34" t="s">
        <v>1987</v>
      </c>
      <c r="C318" s="20" t="s">
        <v>377</v>
      </c>
      <c r="D318" s="34">
        <v>44</v>
      </c>
      <c r="E318" s="34">
        <v>25</v>
      </c>
      <c r="F318" s="254">
        <v>6</v>
      </c>
      <c r="G318" s="174" t="s">
        <v>1995</v>
      </c>
      <c r="H318" s="34" t="s">
        <v>1992</v>
      </c>
      <c r="I318" s="34" t="s">
        <v>1992</v>
      </c>
      <c r="J318" s="20" t="s">
        <v>1992</v>
      </c>
      <c r="K318" s="34" t="s">
        <v>1992</v>
      </c>
      <c r="L318" s="34" t="s">
        <v>1992</v>
      </c>
      <c r="M318" s="34"/>
      <c r="N318" s="34"/>
      <c r="O318" s="34"/>
      <c r="P318" s="102"/>
      <c r="Q318" s="34"/>
      <c r="R318" s="102"/>
    </row>
    <row r="319" spans="1:18" ht="16.5" x14ac:dyDescent="0.35">
      <c r="A319" s="34" t="s">
        <v>1989</v>
      </c>
      <c r="B319" s="34" t="s">
        <v>2001</v>
      </c>
      <c r="C319" s="20" t="s">
        <v>378</v>
      </c>
      <c r="D319" s="34">
        <v>0</v>
      </c>
      <c r="E319" s="34">
        <v>25</v>
      </c>
      <c r="F319" s="254">
        <v>0</v>
      </c>
      <c r="G319" s="174" t="s">
        <v>2033</v>
      </c>
      <c r="H319" s="34" t="s">
        <v>1992</v>
      </c>
      <c r="I319" s="34" t="s">
        <v>1992</v>
      </c>
      <c r="J319" s="20" t="s">
        <v>1992</v>
      </c>
      <c r="K319" s="34" t="s">
        <v>1992</v>
      </c>
      <c r="L319" s="34" t="s">
        <v>1992</v>
      </c>
      <c r="M319" s="34"/>
      <c r="N319" s="34"/>
      <c r="O319" s="34"/>
      <c r="P319" s="102"/>
      <c r="Q319" s="34"/>
      <c r="R319" s="102"/>
    </row>
    <row r="320" spans="1:18" ht="16.5" x14ac:dyDescent="0.35">
      <c r="A320" s="34" t="s">
        <v>1989</v>
      </c>
      <c r="B320" s="34" t="s">
        <v>1990</v>
      </c>
      <c r="C320" s="20" t="s">
        <v>379</v>
      </c>
      <c r="D320" s="34">
        <v>40</v>
      </c>
      <c r="E320" s="34">
        <v>25</v>
      </c>
      <c r="F320" s="254">
        <v>1.5</v>
      </c>
      <c r="G320" s="174" t="s">
        <v>2034</v>
      </c>
      <c r="H320" s="34" t="s">
        <v>1992</v>
      </c>
      <c r="I320" s="34" t="s">
        <v>1992</v>
      </c>
      <c r="J320" s="20" t="s">
        <v>1992</v>
      </c>
      <c r="K320" s="34" t="s">
        <v>1992</v>
      </c>
      <c r="L320" s="34" t="s">
        <v>1992</v>
      </c>
      <c r="M320" s="34"/>
      <c r="N320" s="34"/>
      <c r="O320" s="34"/>
      <c r="P320" s="102"/>
      <c r="Q320" s="34"/>
      <c r="R320" s="102"/>
    </row>
    <row r="321" spans="1:18" ht="16.5" x14ac:dyDescent="0.35">
      <c r="A321" s="34" t="s">
        <v>1993</v>
      </c>
      <c r="B321" s="34" t="s">
        <v>1994</v>
      </c>
      <c r="C321" s="20" t="s">
        <v>2564</v>
      </c>
      <c r="D321" s="34">
        <v>3</v>
      </c>
      <c r="E321" s="34">
        <v>25</v>
      </c>
      <c r="F321" s="254">
        <v>0</v>
      </c>
      <c r="G321" s="174" t="s">
        <v>2035</v>
      </c>
      <c r="H321" s="34" t="s">
        <v>1992</v>
      </c>
      <c r="I321" s="34" t="s">
        <v>1992</v>
      </c>
      <c r="J321" s="20" t="s">
        <v>1992</v>
      </c>
      <c r="K321" s="34" t="s">
        <v>1992</v>
      </c>
      <c r="L321" s="34" t="s">
        <v>1992</v>
      </c>
      <c r="M321" s="34"/>
      <c r="N321" s="34"/>
      <c r="O321" s="34"/>
      <c r="P321" s="102"/>
      <c r="Q321" s="34"/>
      <c r="R321" s="102"/>
    </row>
    <row r="322" spans="1:18" ht="16.5" x14ac:dyDescent="0.35">
      <c r="A322" s="34" t="s">
        <v>1993</v>
      </c>
      <c r="B322" s="34" t="s">
        <v>1994</v>
      </c>
      <c r="C322" s="20" t="s">
        <v>380</v>
      </c>
      <c r="D322" s="34">
        <v>13</v>
      </c>
      <c r="E322" s="34">
        <v>25</v>
      </c>
      <c r="F322" s="254">
        <v>0</v>
      </c>
      <c r="G322" s="174" t="s">
        <v>572</v>
      </c>
      <c r="H322" s="34" t="s">
        <v>1992</v>
      </c>
      <c r="I322" s="34" t="s">
        <v>1992</v>
      </c>
      <c r="J322" s="20" t="s">
        <v>1992</v>
      </c>
      <c r="K322" s="34" t="s">
        <v>1992</v>
      </c>
      <c r="L322" s="34" t="s">
        <v>1992</v>
      </c>
      <c r="M322" s="34"/>
      <c r="N322" s="34"/>
      <c r="O322" s="34"/>
      <c r="P322" s="102"/>
      <c r="Q322" s="34"/>
      <c r="R322" s="102"/>
    </row>
    <row r="323" spans="1:18" ht="16.5" x14ac:dyDescent="0.35">
      <c r="A323" s="34" t="s">
        <v>1989</v>
      </c>
      <c r="B323" s="34" t="s">
        <v>1987</v>
      </c>
      <c r="C323" s="20" t="s">
        <v>381</v>
      </c>
      <c r="D323" s="34">
        <v>12</v>
      </c>
      <c r="E323" s="34">
        <v>25</v>
      </c>
      <c r="F323" s="254">
        <v>0</v>
      </c>
      <c r="G323" s="174" t="s">
        <v>1997</v>
      </c>
      <c r="H323" s="34" t="s">
        <v>1992</v>
      </c>
      <c r="I323" s="34" t="s">
        <v>1992</v>
      </c>
      <c r="J323" s="20" t="s">
        <v>1992</v>
      </c>
      <c r="K323" s="34" t="s">
        <v>1992</v>
      </c>
      <c r="L323" s="34" t="s">
        <v>1992</v>
      </c>
      <c r="M323" s="34"/>
      <c r="N323" s="34"/>
      <c r="O323" s="34"/>
      <c r="P323" s="102"/>
      <c r="Q323" s="34"/>
      <c r="R323" s="102"/>
    </row>
    <row r="324" spans="1:18" ht="16.5" x14ac:dyDescent="0.35">
      <c r="A324" s="34" t="s">
        <v>1989</v>
      </c>
      <c r="B324" s="34" t="s">
        <v>1994</v>
      </c>
      <c r="C324" s="20" t="s">
        <v>382</v>
      </c>
      <c r="D324" s="34"/>
      <c r="E324" s="34">
        <v>25</v>
      </c>
      <c r="F324" s="254">
        <v>26.23</v>
      </c>
      <c r="G324" s="174"/>
      <c r="H324" s="34" t="s">
        <v>1992</v>
      </c>
      <c r="I324" s="34" t="s">
        <v>1992</v>
      </c>
      <c r="J324" s="20" t="s">
        <v>1992</v>
      </c>
      <c r="K324" s="34" t="s">
        <v>1992</v>
      </c>
      <c r="L324" s="34" t="s">
        <v>1992</v>
      </c>
      <c r="M324" s="34"/>
      <c r="N324" s="34"/>
      <c r="O324" s="34"/>
      <c r="P324" s="102"/>
      <c r="Q324" s="34"/>
      <c r="R324" s="102"/>
    </row>
    <row r="325" spans="1:18" ht="16.5" x14ac:dyDescent="0.35">
      <c r="A325" s="34" t="s">
        <v>1989</v>
      </c>
      <c r="B325" s="34" t="s">
        <v>1994</v>
      </c>
      <c r="C325" s="20" t="s">
        <v>383</v>
      </c>
      <c r="D325" s="34"/>
      <c r="E325" s="34">
        <v>25</v>
      </c>
      <c r="F325" s="254">
        <v>4.5</v>
      </c>
      <c r="G325" s="174"/>
      <c r="H325" s="34" t="s">
        <v>1992</v>
      </c>
      <c r="I325" s="34" t="s">
        <v>1992</v>
      </c>
      <c r="J325" s="20" t="s">
        <v>1992</v>
      </c>
      <c r="K325" s="34" t="s">
        <v>1992</v>
      </c>
      <c r="L325" s="34" t="s">
        <v>1992</v>
      </c>
      <c r="M325" s="34"/>
      <c r="N325" s="34"/>
      <c r="O325" s="34"/>
      <c r="P325" s="102"/>
      <c r="Q325" s="34"/>
      <c r="R325" s="102"/>
    </row>
    <row r="326" spans="1:18" ht="16.5" x14ac:dyDescent="0.35">
      <c r="A326" s="34" t="s">
        <v>1989</v>
      </c>
      <c r="B326" s="34" t="s">
        <v>1994</v>
      </c>
      <c r="C326" s="20" t="s">
        <v>384</v>
      </c>
      <c r="D326" s="34"/>
      <c r="E326" s="34">
        <v>25</v>
      </c>
      <c r="F326" s="254">
        <v>0</v>
      </c>
      <c r="G326" s="174"/>
      <c r="H326" s="34" t="s">
        <v>1992</v>
      </c>
      <c r="I326" s="34" t="s">
        <v>1992</v>
      </c>
      <c r="J326" s="20" t="s">
        <v>1992</v>
      </c>
      <c r="K326" s="34" t="s">
        <v>1992</v>
      </c>
      <c r="L326" s="34" t="s">
        <v>1992</v>
      </c>
      <c r="M326" s="34"/>
      <c r="N326" s="34"/>
      <c r="O326" s="34"/>
      <c r="P326" s="102"/>
      <c r="Q326" s="34"/>
      <c r="R326" s="102"/>
    </row>
    <row r="327" spans="1:18" ht="16.5" x14ac:dyDescent="0.35">
      <c r="A327" s="34" t="s">
        <v>1989</v>
      </c>
      <c r="B327" s="34" t="s">
        <v>1986</v>
      </c>
      <c r="C327" s="20" t="s">
        <v>2540</v>
      </c>
      <c r="D327" s="34">
        <v>7</v>
      </c>
      <c r="E327" s="34">
        <v>25</v>
      </c>
      <c r="F327" s="254">
        <v>12.05</v>
      </c>
      <c r="G327" s="174" t="s">
        <v>572</v>
      </c>
      <c r="H327" s="34" t="s">
        <v>1992</v>
      </c>
      <c r="I327" s="34" t="s">
        <v>1992</v>
      </c>
      <c r="J327" s="20" t="s">
        <v>1992</v>
      </c>
      <c r="K327" s="34" t="s">
        <v>1992</v>
      </c>
      <c r="L327" s="34" t="s">
        <v>1992</v>
      </c>
      <c r="M327" s="34"/>
      <c r="N327" s="34"/>
      <c r="O327" s="34"/>
      <c r="P327" s="102"/>
      <c r="Q327" s="34"/>
      <c r="R327" s="102"/>
    </row>
    <row r="328" spans="1:18" ht="16.5" x14ac:dyDescent="0.35">
      <c r="A328" s="34" t="s">
        <v>1993</v>
      </c>
      <c r="B328" s="34" t="s">
        <v>1987</v>
      </c>
      <c r="C328" s="20" t="s">
        <v>385</v>
      </c>
      <c r="D328" s="34">
        <v>9</v>
      </c>
      <c r="E328" s="34">
        <v>25</v>
      </c>
      <c r="F328" s="254">
        <v>15.195</v>
      </c>
      <c r="G328" s="174" t="s">
        <v>569</v>
      </c>
      <c r="H328" s="34" t="s">
        <v>1992</v>
      </c>
      <c r="I328" s="34" t="s">
        <v>1992</v>
      </c>
      <c r="J328" s="20" t="s">
        <v>1992</v>
      </c>
      <c r="K328" s="34" t="s">
        <v>1992</v>
      </c>
      <c r="L328" s="34" t="s">
        <v>1992</v>
      </c>
      <c r="M328" s="34"/>
      <c r="N328" s="34"/>
      <c r="O328" s="34"/>
      <c r="P328" s="102"/>
      <c r="Q328" s="34"/>
      <c r="R328" s="102"/>
    </row>
    <row r="329" spans="1:18" ht="16.5" x14ac:dyDescent="0.35">
      <c r="A329" s="34" t="s">
        <v>1986</v>
      </c>
      <c r="B329" s="34" t="s">
        <v>1986</v>
      </c>
      <c r="C329" s="20" t="s">
        <v>386</v>
      </c>
      <c r="D329" s="34">
        <v>0</v>
      </c>
      <c r="E329" s="34">
        <v>25</v>
      </c>
      <c r="F329" s="254">
        <v>0.28999999999999998</v>
      </c>
      <c r="G329" s="174" t="s">
        <v>570</v>
      </c>
      <c r="H329" s="34" t="s">
        <v>1643</v>
      </c>
      <c r="I329" s="34">
        <v>23</v>
      </c>
      <c r="J329" s="104" t="str">
        <f>HYPERLINK("https://www.examplebusiness.com/team/kirsten-davidson","https://www.examplebusiness.com/team/kirsten-davidson")</f>
        <v>https://www.examplebusiness.com/team/kirsten-davidson</v>
      </c>
      <c r="K329" s="34" t="s">
        <v>1643</v>
      </c>
      <c r="L329" s="34" t="s">
        <v>1643</v>
      </c>
      <c r="M329" s="34"/>
      <c r="N329" s="34"/>
      <c r="O329" s="34"/>
      <c r="P329" s="102"/>
      <c r="Q329" s="34"/>
      <c r="R329" s="102"/>
    </row>
    <row r="330" spans="1:18" ht="16.5" x14ac:dyDescent="0.35">
      <c r="A330" s="34" t="s">
        <v>1986</v>
      </c>
      <c r="B330" s="34" t="s">
        <v>1986</v>
      </c>
      <c r="C330" s="20" t="s">
        <v>387</v>
      </c>
      <c r="D330" s="34">
        <v>0</v>
      </c>
      <c r="E330" s="34">
        <v>25</v>
      </c>
      <c r="F330" s="254">
        <v>0</v>
      </c>
      <c r="G330" s="174" t="s">
        <v>570</v>
      </c>
      <c r="H330" s="34" t="s">
        <v>1643</v>
      </c>
      <c r="I330" s="34">
        <v>34</v>
      </c>
      <c r="J330" s="104" t="str">
        <f>HYPERLINK("https://www.examplebusiness.com/team/theresa-goff","https://www.examplebusiness.com/team/theresa-goff")</f>
        <v>https://www.examplebusiness.com/team/theresa-goff</v>
      </c>
      <c r="K330" s="34" t="s">
        <v>1643</v>
      </c>
      <c r="L330" s="34" t="s">
        <v>1643</v>
      </c>
      <c r="M330" s="34"/>
      <c r="N330" s="34"/>
      <c r="O330" s="34"/>
      <c r="P330" s="102"/>
      <c r="Q330" s="34"/>
      <c r="R330" s="102"/>
    </row>
    <row r="331" spans="1:18" ht="16.5" x14ac:dyDescent="0.35">
      <c r="A331" s="34" t="s">
        <v>1986</v>
      </c>
      <c r="B331" s="34" t="s">
        <v>1986</v>
      </c>
      <c r="C331" s="20" t="s">
        <v>388</v>
      </c>
      <c r="D331" s="34">
        <v>1</v>
      </c>
      <c r="E331" s="34">
        <v>25</v>
      </c>
      <c r="F331" s="254">
        <v>0</v>
      </c>
      <c r="G331" s="174" t="s">
        <v>568</v>
      </c>
      <c r="H331" s="34" t="s">
        <v>1643</v>
      </c>
      <c r="I331" s="34">
        <v>37</v>
      </c>
      <c r="J331" s="104" t="str">
        <f>HYPERLINK("http://www.examplebusiness.com/resource-center/lifestyle/what-to-do-when-you-lose-your-wallet","http://www.examplebusiness.com/resource-center/lifestyle/what-to-do-when-you-lose-your-wallet")</f>
        <v>http://www.examplebusiness.com/resource-center/lifestyle/what-to-do-when-you-lose-your-wallet</v>
      </c>
      <c r="K331" s="34" t="s">
        <v>1643</v>
      </c>
      <c r="L331" s="34" t="s">
        <v>1643</v>
      </c>
      <c r="M331" s="34"/>
      <c r="N331" s="34"/>
      <c r="O331" s="34"/>
      <c r="P331" s="102"/>
      <c r="Q331" s="34"/>
      <c r="R331" s="102"/>
    </row>
    <row r="332" spans="1:18" ht="16.5" x14ac:dyDescent="0.35">
      <c r="A332" s="34" t="s">
        <v>1993</v>
      </c>
      <c r="B332" s="34" t="s">
        <v>1994</v>
      </c>
      <c r="C332" s="20" t="s">
        <v>389</v>
      </c>
      <c r="D332" s="34">
        <v>0</v>
      </c>
      <c r="E332" s="34">
        <v>25</v>
      </c>
      <c r="F332" s="254">
        <v>16.170000000000002</v>
      </c>
      <c r="G332" s="174" t="s">
        <v>591</v>
      </c>
      <c r="H332" s="34" t="s">
        <v>1643</v>
      </c>
      <c r="I332" s="34">
        <v>44</v>
      </c>
      <c r="J332" s="104" t="str">
        <f>HYPERLINK("https://www.examplebusiness.com/","https://www.examplebusiness.com/")</f>
        <v>https://www.examplebusiness.com/</v>
      </c>
      <c r="K332" s="34" t="s">
        <v>1643</v>
      </c>
      <c r="L332" s="34" t="s">
        <v>1643</v>
      </c>
      <c r="M332" s="34"/>
      <c r="N332" s="34"/>
      <c r="O332" s="34"/>
      <c r="P332" s="102"/>
      <c r="Q332" s="34"/>
      <c r="R332" s="102"/>
    </row>
    <row r="333" spans="1:18" ht="16.5" x14ac:dyDescent="0.35">
      <c r="A333" s="34" t="s">
        <v>1986</v>
      </c>
      <c r="B333" s="34" t="s">
        <v>1986</v>
      </c>
      <c r="C333" s="20" t="s">
        <v>390</v>
      </c>
      <c r="D333" s="34">
        <v>0</v>
      </c>
      <c r="E333" s="34">
        <v>25</v>
      </c>
      <c r="F333" s="254">
        <v>0</v>
      </c>
      <c r="G333" s="174" t="s">
        <v>601</v>
      </c>
      <c r="H333" s="34" t="s">
        <v>1643</v>
      </c>
      <c r="I333" s="34">
        <v>48</v>
      </c>
      <c r="J333" s="104" t="str">
        <f>HYPERLINK("https://www.examplebusiness.com/resource-center/investment/mutual-funds-vs-etfs","https://www.examplebusiness.com/resource-center/investment/mutual-funds-vs-etfs")</f>
        <v>https://www.examplebusiness.com/resource-center/investment/mutual-funds-vs-etfs</v>
      </c>
      <c r="K333" s="34" t="s">
        <v>1643</v>
      </c>
      <c r="L333" s="34" t="s">
        <v>1643</v>
      </c>
      <c r="M333" s="34"/>
      <c r="N333" s="34"/>
      <c r="O333" s="34"/>
      <c r="P333" s="102"/>
      <c r="Q333" s="34"/>
      <c r="R333" s="102"/>
    </row>
    <row r="334" spans="1:18" ht="16.5" x14ac:dyDescent="0.35">
      <c r="A334" s="34" t="s">
        <v>1986</v>
      </c>
      <c r="B334" s="34" t="s">
        <v>1986</v>
      </c>
      <c r="C334" s="20" t="s">
        <v>391</v>
      </c>
      <c r="D334" s="34">
        <v>36</v>
      </c>
      <c r="E334" s="34">
        <v>25</v>
      </c>
      <c r="F334" s="254">
        <v>0</v>
      </c>
      <c r="G334" s="174" t="s">
        <v>608</v>
      </c>
      <c r="H334" s="34" t="s">
        <v>1643</v>
      </c>
      <c r="I334" s="34">
        <v>64</v>
      </c>
      <c r="J334" s="104" t="str">
        <f>HYPERLINK("http://www.examplebusiness.com/tools/tax-resources/tax-forms","http://www.examplebusiness.com/tools/tax-resources/tax-forms")</f>
        <v>http://www.examplebusiness.com/tools/tax-resources/tax-forms</v>
      </c>
      <c r="K334" s="34" t="s">
        <v>1643</v>
      </c>
      <c r="L334" s="34" t="s">
        <v>1643</v>
      </c>
      <c r="M334" s="34"/>
      <c r="N334" s="34"/>
      <c r="O334" s="34"/>
      <c r="P334" s="102"/>
      <c r="Q334" s="34"/>
      <c r="R334" s="102"/>
    </row>
    <row r="335" spans="1:18" ht="16.5" x14ac:dyDescent="0.35">
      <c r="A335" s="34" t="s">
        <v>1986</v>
      </c>
      <c r="B335" s="34" t="s">
        <v>1986</v>
      </c>
      <c r="C335" s="20" t="s">
        <v>392</v>
      </c>
      <c r="D335" s="34">
        <v>40</v>
      </c>
      <c r="E335" s="34">
        <v>25</v>
      </c>
      <c r="F335" s="254">
        <v>10.48</v>
      </c>
      <c r="G335" s="174" t="s">
        <v>643</v>
      </c>
      <c r="H335" s="34" t="s">
        <v>1643</v>
      </c>
      <c r="I335" s="34">
        <v>74</v>
      </c>
      <c r="J335" s="104" t="str">
        <f>HYPERLINK("http://www.examplebusiness.com/resource-center/money/spotting-credit-trouble","http://www.examplebusiness.com/resource-center/money/spotting-credit-trouble")</f>
        <v>http://www.examplebusiness.com/resource-center/money/spotting-credit-trouble</v>
      </c>
      <c r="K335" s="34" t="s">
        <v>1643</v>
      </c>
      <c r="L335" s="34" t="s">
        <v>1643</v>
      </c>
      <c r="M335" s="34"/>
      <c r="N335" s="34"/>
      <c r="O335" s="34"/>
      <c r="P335" s="102"/>
      <c r="Q335" s="34"/>
      <c r="R335" s="102"/>
    </row>
    <row r="336" spans="1:18" ht="16.5" x14ac:dyDescent="0.35">
      <c r="A336" s="34" t="s">
        <v>1986</v>
      </c>
      <c r="B336" s="34" t="s">
        <v>1986</v>
      </c>
      <c r="C336" s="20" t="s">
        <v>393</v>
      </c>
      <c r="D336" s="34">
        <v>0</v>
      </c>
      <c r="E336" s="34">
        <v>25</v>
      </c>
      <c r="F336" s="254">
        <v>0</v>
      </c>
      <c r="G336" s="174" t="s">
        <v>625</v>
      </c>
      <c r="H336" s="34" t="s">
        <v>1643</v>
      </c>
      <c r="I336" s="34">
        <v>74</v>
      </c>
      <c r="J336" s="104" t="str">
        <f>HYPERLINK("https://www.examplebusiness.com/blog/how-our-economy-can-bounce-back","https://www.examplebusiness.com/blog/how-our-economy-can-bounce-back")</f>
        <v>https://www.examplebusiness.com/blog/how-our-economy-can-bounce-back</v>
      </c>
      <c r="K336" s="34" t="s">
        <v>1643</v>
      </c>
      <c r="L336" s="34" t="s">
        <v>1643</v>
      </c>
      <c r="M336" s="34"/>
      <c r="N336" s="34"/>
      <c r="O336" s="34"/>
      <c r="P336" s="102"/>
      <c r="Q336" s="34"/>
      <c r="R336" s="102"/>
    </row>
    <row r="337" spans="1:18" ht="16.5" x14ac:dyDescent="0.35">
      <c r="A337" s="34" t="s">
        <v>1986</v>
      </c>
      <c r="B337" s="34" t="s">
        <v>1986</v>
      </c>
      <c r="C337" s="20" t="s">
        <v>394</v>
      </c>
      <c r="D337" s="34">
        <v>36</v>
      </c>
      <c r="E337" s="34">
        <v>25</v>
      </c>
      <c r="F337" s="254">
        <v>1.52</v>
      </c>
      <c r="G337" s="174" t="s">
        <v>650</v>
      </c>
      <c r="H337" s="34" t="s">
        <v>1643</v>
      </c>
      <c r="I337" s="34">
        <v>82</v>
      </c>
      <c r="J337" s="104" t="str">
        <f>HYPERLINK("https://www.examplebusiness.com/","https://www.examplebusiness.com/")</f>
        <v>https://www.examplebusiness.com/</v>
      </c>
      <c r="K337" s="34" t="s">
        <v>1643</v>
      </c>
      <c r="L337" s="34" t="s">
        <v>1643</v>
      </c>
      <c r="M337" s="34"/>
      <c r="N337" s="34"/>
      <c r="O337" s="34"/>
      <c r="P337" s="102"/>
      <c r="Q337" s="34"/>
      <c r="R337" s="102"/>
    </row>
    <row r="338" spans="1:18" ht="16.5" x14ac:dyDescent="0.35">
      <c r="A338" s="34" t="s">
        <v>1986</v>
      </c>
      <c r="B338" s="34" t="s">
        <v>1986</v>
      </c>
      <c r="C338" s="20" t="s">
        <v>395</v>
      </c>
      <c r="D338" s="34">
        <v>1</v>
      </c>
      <c r="E338" s="34">
        <v>25</v>
      </c>
      <c r="F338" s="254">
        <v>0</v>
      </c>
      <c r="G338" s="174" t="s">
        <v>655</v>
      </c>
      <c r="H338" s="34" t="s">
        <v>1643</v>
      </c>
      <c r="I338" s="34">
        <v>87</v>
      </c>
      <c r="J338" s="104" t="str">
        <f>HYPERLINK("https://www.examplebusiness.com/","https://www.examplebusiness.com/")</f>
        <v>https://www.examplebusiness.com/</v>
      </c>
      <c r="K338" s="34" t="s">
        <v>1643</v>
      </c>
      <c r="L338" s="34" t="s">
        <v>1643</v>
      </c>
      <c r="M338" s="34"/>
      <c r="N338" s="34"/>
      <c r="O338" s="34"/>
      <c r="P338" s="102"/>
      <c r="Q338" s="34"/>
      <c r="R338" s="102"/>
    </row>
    <row r="339" spans="1:18" ht="16.5" x14ac:dyDescent="0.35">
      <c r="A339" s="34" t="s">
        <v>1986</v>
      </c>
      <c r="B339" s="34" t="s">
        <v>1986</v>
      </c>
      <c r="C339" s="20" t="s">
        <v>396</v>
      </c>
      <c r="D339" s="34">
        <v>36</v>
      </c>
      <c r="E339" s="34">
        <v>25</v>
      </c>
      <c r="F339" s="254">
        <v>0</v>
      </c>
      <c r="G339" s="174" t="s">
        <v>568</v>
      </c>
      <c r="H339" s="34" t="s">
        <v>1643</v>
      </c>
      <c r="I339" s="34">
        <v>89</v>
      </c>
      <c r="J339" s="104" t="str">
        <f>HYPERLINK("https://www.examplebusiness.com/blog/eleven-ways-to-help-yourself-stay-sane-in-a-crazy-market","https://www.examplebusiness.com/blog/eleven-ways-to-help-yourself-stay-sane-in-a-crazy-market")</f>
        <v>https://www.examplebusiness.com/blog/eleven-ways-to-help-yourself-stay-sane-in-a-crazy-market</v>
      </c>
      <c r="K339" s="34" t="s">
        <v>1643</v>
      </c>
      <c r="L339" s="34" t="s">
        <v>1643</v>
      </c>
      <c r="M339" s="34"/>
      <c r="N339" s="34"/>
      <c r="O339" s="34"/>
      <c r="P339" s="102"/>
      <c r="Q339" s="34"/>
      <c r="R339" s="102"/>
    </row>
    <row r="340" spans="1:18" ht="16.5" x14ac:dyDescent="0.35">
      <c r="A340" s="34" t="s">
        <v>1986</v>
      </c>
      <c r="B340" s="34" t="s">
        <v>1986</v>
      </c>
      <c r="C340" s="20" t="s">
        <v>397</v>
      </c>
      <c r="D340" s="34">
        <v>19</v>
      </c>
      <c r="E340" s="34">
        <v>25</v>
      </c>
      <c r="F340" s="254">
        <v>0</v>
      </c>
      <c r="G340" s="174" t="s">
        <v>572</v>
      </c>
      <c r="H340" s="34" t="s">
        <v>1643</v>
      </c>
      <c r="I340" s="34">
        <v>90</v>
      </c>
      <c r="J340" s="104" t="str">
        <f>HYPERLINK("https://www.examplebusiness.com/blog","https://www.examplebusiness.com/blog")</f>
        <v>https://www.examplebusiness.com/blog</v>
      </c>
      <c r="K340" s="34" t="s">
        <v>1643</v>
      </c>
      <c r="L340" s="34" t="s">
        <v>1643</v>
      </c>
      <c r="M340" s="34"/>
      <c r="N340" s="34"/>
      <c r="O340" s="34"/>
      <c r="P340" s="102"/>
      <c r="Q340" s="34"/>
      <c r="R340" s="102"/>
    </row>
    <row r="341" spans="1:18" ht="16.5" x14ac:dyDescent="0.35">
      <c r="A341" s="34" t="s">
        <v>1993</v>
      </c>
      <c r="B341" s="34" t="s">
        <v>1987</v>
      </c>
      <c r="C341" s="20" t="s">
        <v>398</v>
      </c>
      <c r="D341" s="34">
        <v>34</v>
      </c>
      <c r="E341" s="34">
        <v>25</v>
      </c>
      <c r="F341" s="254">
        <v>12.18</v>
      </c>
      <c r="G341" s="174" t="s">
        <v>666</v>
      </c>
      <c r="H341" s="34" t="s">
        <v>1643</v>
      </c>
      <c r="I341" s="34">
        <v>92</v>
      </c>
      <c r="J341" s="104" t="str">
        <f>HYPERLINK("https://www.examplebusiness.com/blog/socially-responsible-investing","https://www.examplebusiness.com/blog/socially-responsible-investing")</f>
        <v>https://www.examplebusiness.com/blog/socially-responsible-investing</v>
      </c>
      <c r="K341" s="34" t="s">
        <v>1643</v>
      </c>
      <c r="L341" s="34" t="s">
        <v>1643</v>
      </c>
      <c r="M341" s="34"/>
      <c r="N341" s="34"/>
      <c r="O341" s="34"/>
      <c r="P341" s="102"/>
      <c r="Q341" s="34"/>
      <c r="R341" s="102"/>
    </row>
    <row r="342" spans="1:18" ht="16.5" x14ac:dyDescent="0.35">
      <c r="A342" s="34" t="s">
        <v>1986</v>
      </c>
      <c r="B342" s="34" t="s">
        <v>1986</v>
      </c>
      <c r="C342" s="20" t="s">
        <v>399</v>
      </c>
      <c r="D342" s="34">
        <v>10</v>
      </c>
      <c r="E342" s="34">
        <v>25</v>
      </c>
      <c r="F342" s="254">
        <v>0</v>
      </c>
      <c r="G342" s="174" t="s">
        <v>669</v>
      </c>
      <c r="H342" s="34" t="s">
        <v>1643</v>
      </c>
      <c r="I342" s="34">
        <v>98</v>
      </c>
      <c r="J342" s="104" t="str">
        <f>HYPERLINK("https://www.examplebusiness.com/resource-center/money/life-and-death-of-a-20-dollar-bill","https://www.examplebusiness.com/resource-center/money/life-and-death-of-a-20-dollar-bill")</f>
        <v>https://www.examplebusiness.com/resource-center/money/life-and-death-of-a-20-dollar-bill</v>
      </c>
      <c r="K342" s="34" t="s">
        <v>1643</v>
      </c>
      <c r="L342" s="34" t="s">
        <v>1643</v>
      </c>
      <c r="M342" s="34"/>
      <c r="N342" s="34"/>
      <c r="O342" s="34"/>
      <c r="P342" s="102"/>
      <c r="Q342" s="34"/>
      <c r="R342" s="102"/>
    </row>
    <row r="343" spans="1:18" ht="16.5" x14ac:dyDescent="0.35">
      <c r="A343" s="34" t="s">
        <v>1989</v>
      </c>
      <c r="B343" s="34" t="s">
        <v>1986</v>
      </c>
      <c r="C343" s="20" t="s">
        <v>2544</v>
      </c>
      <c r="D343" s="34">
        <v>40</v>
      </c>
      <c r="E343" s="34">
        <v>25</v>
      </c>
      <c r="F343" s="254">
        <v>3.23</v>
      </c>
      <c r="G343" s="174" t="s">
        <v>671</v>
      </c>
      <c r="H343" s="34" t="s">
        <v>1643</v>
      </c>
      <c r="I343" s="34">
        <v>97</v>
      </c>
      <c r="J343" s="104" t="str">
        <f>HYPERLINK("https://www.examplebusiness.com/","https://www.examplebusiness.com/")</f>
        <v>https://www.examplebusiness.com/</v>
      </c>
      <c r="K343" s="34" t="s">
        <v>1643</v>
      </c>
      <c r="L343" s="34" t="s">
        <v>1643</v>
      </c>
      <c r="M343" s="34"/>
      <c r="N343" s="34"/>
      <c r="O343" s="34"/>
      <c r="P343" s="102"/>
      <c r="Q343" s="34"/>
      <c r="R343" s="102"/>
    </row>
    <row r="344" spans="1:18" ht="16.5" x14ac:dyDescent="0.35">
      <c r="A344" s="34" t="s">
        <v>1989</v>
      </c>
      <c r="B344" s="34" t="s">
        <v>1994</v>
      </c>
      <c r="C344" s="20" t="s">
        <v>401</v>
      </c>
      <c r="D344" s="34">
        <v>1</v>
      </c>
      <c r="E344" s="34">
        <v>20</v>
      </c>
      <c r="F344" s="254">
        <v>0</v>
      </c>
      <c r="G344" s="174"/>
      <c r="H344" s="34" t="s">
        <v>1992</v>
      </c>
      <c r="I344" s="34" t="s">
        <v>1992</v>
      </c>
      <c r="J344" s="20" t="s">
        <v>1992</v>
      </c>
      <c r="K344" s="34" t="s">
        <v>1992</v>
      </c>
      <c r="L344" s="34" t="s">
        <v>1992</v>
      </c>
      <c r="M344" s="34"/>
      <c r="N344" s="34"/>
      <c r="O344" s="34"/>
      <c r="P344" s="102"/>
      <c r="Q344" s="34"/>
      <c r="R344" s="102"/>
    </row>
    <row r="345" spans="1:18" ht="16.5" x14ac:dyDescent="0.35">
      <c r="A345" s="34" t="s">
        <v>1989</v>
      </c>
      <c r="B345" s="34" t="s">
        <v>1987</v>
      </c>
      <c r="C345" s="20" t="s">
        <v>402</v>
      </c>
      <c r="D345" s="34">
        <v>1</v>
      </c>
      <c r="E345" s="34">
        <v>20</v>
      </c>
      <c r="F345" s="254">
        <v>0</v>
      </c>
      <c r="G345" s="174" t="s">
        <v>2008</v>
      </c>
      <c r="H345" s="34" t="s">
        <v>1992</v>
      </c>
      <c r="I345" s="34" t="s">
        <v>1992</v>
      </c>
      <c r="J345" s="20" t="s">
        <v>1992</v>
      </c>
      <c r="K345" s="34" t="s">
        <v>1992</v>
      </c>
      <c r="L345" s="34" t="s">
        <v>1992</v>
      </c>
      <c r="M345" s="34"/>
      <c r="N345" s="34"/>
      <c r="O345" s="34"/>
      <c r="P345" s="102"/>
      <c r="Q345" s="34"/>
      <c r="R345" s="102"/>
    </row>
    <row r="346" spans="1:18" ht="16.5" x14ac:dyDescent="0.35">
      <c r="A346" s="34" t="s">
        <v>1989</v>
      </c>
      <c r="B346" s="34" t="s">
        <v>2001</v>
      </c>
      <c r="C346" s="20" t="s">
        <v>403</v>
      </c>
      <c r="D346" s="34"/>
      <c r="E346" s="34">
        <v>20</v>
      </c>
      <c r="F346" s="254" t="s">
        <v>70</v>
      </c>
      <c r="G346" s="174"/>
      <c r="H346" s="34" t="s">
        <v>1992</v>
      </c>
      <c r="I346" s="34" t="s">
        <v>1992</v>
      </c>
      <c r="J346" s="20" t="s">
        <v>1992</v>
      </c>
      <c r="K346" s="34" t="s">
        <v>1992</v>
      </c>
      <c r="L346" s="34" t="s">
        <v>1992</v>
      </c>
      <c r="M346" s="34"/>
      <c r="N346" s="34"/>
      <c r="O346" s="34"/>
      <c r="P346" s="102"/>
      <c r="Q346" s="34"/>
      <c r="R346" s="102"/>
    </row>
    <row r="347" spans="1:18" ht="16.5" x14ac:dyDescent="0.35">
      <c r="A347" s="34" t="s">
        <v>1989</v>
      </c>
      <c r="B347" s="34" t="s">
        <v>2001</v>
      </c>
      <c r="C347" s="20" t="s">
        <v>404</v>
      </c>
      <c r="D347" s="34">
        <v>36</v>
      </c>
      <c r="E347" s="34">
        <v>20</v>
      </c>
      <c r="F347" s="254">
        <v>14.52</v>
      </c>
      <c r="G347" s="174" t="s">
        <v>2026</v>
      </c>
      <c r="H347" s="34" t="s">
        <v>1992</v>
      </c>
      <c r="I347" s="34" t="s">
        <v>1992</v>
      </c>
      <c r="J347" s="20" t="s">
        <v>1992</v>
      </c>
      <c r="K347" s="34" t="s">
        <v>1992</v>
      </c>
      <c r="L347" s="34" t="s">
        <v>1992</v>
      </c>
      <c r="M347" s="34"/>
      <c r="N347" s="34"/>
      <c r="O347" s="34"/>
      <c r="P347" s="102"/>
      <c r="Q347" s="34"/>
      <c r="R347" s="102"/>
    </row>
    <row r="348" spans="1:18" ht="16.5" x14ac:dyDescent="0.35">
      <c r="A348" s="34" t="s">
        <v>1989</v>
      </c>
      <c r="B348" s="34" t="s">
        <v>1994</v>
      </c>
      <c r="C348" s="20" t="s">
        <v>405</v>
      </c>
      <c r="D348" s="34">
        <v>51</v>
      </c>
      <c r="E348" s="34">
        <v>20</v>
      </c>
      <c r="F348" s="254">
        <v>22.62</v>
      </c>
      <c r="G348" s="174" t="s">
        <v>2036</v>
      </c>
      <c r="H348" s="34" t="s">
        <v>1992</v>
      </c>
      <c r="I348" s="34" t="s">
        <v>1992</v>
      </c>
      <c r="J348" s="20" t="s">
        <v>1992</v>
      </c>
      <c r="K348" s="34" t="s">
        <v>1992</v>
      </c>
      <c r="L348" s="34" t="s">
        <v>1992</v>
      </c>
      <c r="M348" s="34"/>
      <c r="N348" s="34"/>
      <c r="O348" s="34"/>
      <c r="P348" s="102"/>
      <c r="Q348" s="34"/>
      <c r="R348" s="102"/>
    </row>
    <row r="349" spans="1:18" ht="16.5" x14ac:dyDescent="0.35">
      <c r="A349" s="34" t="s">
        <v>1989</v>
      </c>
      <c r="B349" s="34" t="s">
        <v>1994</v>
      </c>
      <c r="C349" s="20" t="s">
        <v>406</v>
      </c>
      <c r="D349" s="34">
        <v>28</v>
      </c>
      <c r="E349" s="34">
        <v>20</v>
      </c>
      <c r="F349" s="254">
        <v>14.27</v>
      </c>
      <c r="G349" s="174" t="s">
        <v>2022</v>
      </c>
      <c r="H349" s="34" t="s">
        <v>1992</v>
      </c>
      <c r="I349" s="34" t="s">
        <v>1992</v>
      </c>
      <c r="J349" s="20" t="s">
        <v>1992</v>
      </c>
      <c r="K349" s="34" t="s">
        <v>1992</v>
      </c>
      <c r="L349" s="34" t="s">
        <v>1992</v>
      </c>
      <c r="M349" s="34"/>
      <c r="N349" s="34"/>
      <c r="O349" s="34"/>
      <c r="P349" s="102"/>
      <c r="Q349" s="34"/>
      <c r="R349" s="102"/>
    </row>
    <row r="350" spans="1:18" ht="16.5" x14ac:dyDescent="0.35">
      <c r="A350" s="34" t="s">
        <v>1989</v>
      </c>
      <c r="B350" s="34" t="s">
        <v>1994</v>
      </c>
      <c r="C350" s="20" t="s">
        <v>407</v>
      </c>
      <c r="D350" s="34">
        <v>12</v>
      </c>
      <c r="E350" s="34">
        <v>20</v>
      </c>
      <c r="F350" s="254">
        <v>0</v>
      </c>
      <c r="G350" s="174" t="s">
        <v>2008</v>
      </c>
      <c r="H350" s="34" t="s">
        <v>1992</v>
      </c>
      <c r="I350" s="34" t="s">
        <v>1992</v>
      </c>
      <c r="J350" s="20" t="s">
        <v>1992</v>
      </c>
      <c r="K350" s="34" t="s">
        <v>1992</v>
      </c>
      <c r="L350" s="34" t="s">
        <v>1992</v>
      </c>
      <c r="M350" s="34"/>
      <c r="N350" s="34"/>
      <c r="O350" s="34"/>
      <c r="P350" s="102"/>
      <c r="Q350" s="34"/>
      <c r="R350" s="102"/>
    </row>
    <row r="351" spans="1:18" ht="16.5" x14ac:dyDescent="0.35">
      <c r="A351" s="34" t="s">
        <v>1989</v>
      </c>
      <c r="B351" s="34" t="s">
        <v>1994</v>
      </c>
      <c r="C351" s="20" t="s">
        <v>408</v>
      </c>
      <c r="D351" s="34">
        <v>10</v>
      </c>
      <c r="E351" s="34">
        <v>20</v>
      </c>
      <c r="F351" s="254">
        <v>4.5</v>
      </c>
      <c r="G351" s="174" t="s">
        <v>2002</v>
      </c>
      <c r="H351" s="34" t="s">
        <v>1992</v>
      </c>
      <c r="I351" s="34" t="s">
        <v>1992</v>
      </c>
      <c r="J351" s="20" t="s">
        <v>1992</v>
      </c>
      <c r="K351" s="34" t="s">
        <v>1992</v>
      </c>
      <c r="L351" s="34" t="s">
        <v>1992</v>
      </c>
      <c r="M351" s="34"/>
      <c r="N351" s="34"/>
      <c r="O351" s="34"/>
      <c r="P351" s="102"/>
      <c r="Q351" s="34"/>
      <c r="R351" s="102"/>
    </row>
    <row r="352" spans="1:18" ht="16.5" x14ac:dyDescent="0.35">
      <c r="A352" s="34" t="s">
        <v>1993</v>
      </c>
      <c r="B352" s="34" t="s">
        <v>2001</v>
      </c>
      <c r="C352" s="20" t="s">
        <v>409</v>
      </c>
      <c r="D352" s="34">
        <v>0</v>
      </c>
      <c r="E352" s="34">
        <v>20</v>
      </c>
      <c r="F352" s="254">
        <v>4.7</v>
      </c>
      <c r="G352" s="174" t="s">
        <v>2037</v>
      </c>
      <c r="H352" s="34" t="s">
        <v>1992</v>
      </c>
      <c r="I352" s="34" t="s">
        <v>1992</v>
      </c>
      <c r="J352" s="20" t="s">
        <v>1992</v>
      </c>
      <c r="K352" s="34" t="s">
        <v>1992</v>
      </c>
      <c r="L352" s="34" t="s">
        <v>1992</v>
      </c>
      <c r="M352" s="34"/>
      <c r="N352" s="34"/>
      <c r="O352" s="34"/>
      <c r="P352" s="102"/>
      <c r="Q352" s="34"/>
      <c r="R352" s="102"/>
    </row>
    <row r="353" spans="1:18" ht="16.5" x14ac:dyDescent="0.35">
      <c r="A353" s="34" t="s">
        <v>1989</v>
      </c>
      <c r="B353" s="34" t="s">
        <v>1987</v>
      </c>
      <c r="C353" s="20" t="s">
        <v>410</v>
      </c>
      <c r="D353" s="34">
        <v>48</v>
      </c>
      <c r="E353" s="34">
        <v>20</v>
      </c>
      <c r="F353" s="254">
        <v>7</v>
      </c>
      <c r="G353" s="174" t="s">
        <v>1998</v>
      </c>
      <c r="H353" s="34" t="s">
        <v>1992</v>
      </c>
      <c r="I353" s="34" t="s">
        <v>1992</v>
      </c>
      <c r="J353" s="20" t="s">
        <v>1992</v>
      </c>
      <c r="K353" s="34" t="s">
        <v>1992</v>
      </c>
      <c r="L353" s="34" t="s">
        <v>1992</v>
      </c>
      <c r="M353" s="34"/>
      <c r="N353" s="34"/>
      <c r="O353" s="34"/>
      <c r="P353" s="102"/>
      <c r="Q353" s="34"/>
      <c r="R353" s="102"/>
    </row>
    <row r="354" spans="1:18" ht="16.5" x14ac:dyDescent="0.35">
      <c r="A354" s="34" t="s">
        <v>1989</v>
      </c>
      <c r="B354" s="34" t="s">
        <v>1994</v>
      </c>
      <c r="C354" s="20" t="s">
        <v>411</v>
      </c>
      <c r="D354" s="34"/>
      <c r="E354" s="34">
        <v>20</v>
      </c>
      <c r="F354" s="254">
        <v>12.35</v>
      </c>
      <c r="G354" s="174"/>
      <c r="H354" s="34" t="s">
        <v>1992</v>
      </c>
      <c r="I354" s="34" t="s">
        <v>1992</v>
      </c>
      <c r="J354" s="20" t="s">
        <v>1992</v>
      </c>
      <c r="K354" s="34" t="s">
        <v>1992</v>
      </c>
      <c r="L354" s="34" t="s">
        <v>1992</v>
      </c>
      <c r="M354" s="34"/>
      <c r="N354" s="34"/>
      <c r="O354" s="34"/>
      <c r="P354" s="102"/>
      <c r="Q354" s="34"/>
      <c r="R354" s="102"/>
    </row>
    <row r="355" spans="1:18" ht="16.5" x14ac:dyDescent="0.35">
      <c r="A355" s="34" t="s">
        <v>1989</v>
      </c>
      <c r="B355" s="34" t="s">
        <v>1990</v>
      </c>
      <c r="C355" s="20" t="s">
        <v>412</v>
      </c>
      <c r="D355" s="34"/>
      <c r="E355" s="34">
        <v>20</v>
      </c>
      <c r="F355" s="254">
        <v>0.42</v>
      </c>
      <c r="G355" s="174"/>
      <c r="H355" s="34" t="s">
        <v>1992</v>
      </c>
      <c r="I355" s="34" t="s">
        <v>1992</v>
      </c>
      <c r="J355" s="20" t="s">
        <v>1992</v>
      </c>
      <c r="K355" s="34" t="s">
        <v>1992</v>
      </c>
      <c r="L355" s="34" t="s">
        <v>1992</v>
      </c>
      <c r="M355" s="34"/>
      <c r="N355" s="34"/>
      <c r="O355" s="34"/>
      <c r="P355" s="102"/>
      <c r="Q355" s="34"/>
      <c r="R355" s="102"/>
    </row>
    <row r="356" spans="1:18" ht="16.5" x14ac:dyDescent="0.35">
      <c r="A356" s="34" t="s">
        <v>1989</v>
      </c>
      <c r="B356" s="34" t="s">
        <v>2001</v>
      </c>
      <c r="C356" s="20" t="s">
        <v>413</v>
      </c>
      <c r="D356" s="34">
        <v>23</v>
      </c>
      <c r="E356" s="34">
        <v>20</v>
      </c>
      <c r="F356" s="254">
        <v>3.41</v>
      </c>
      <c r="G356" s="174" t="s">
        <v>608</v>
      </c>
      <c r="H356" s="34" t="s">
        <v>1992</v>
      </c>
      <c r="I356" s="34" t="s">
        <v>1992</v>
      </c>
      <c r="J356" s="20" t="s">
        <v>1992</v>
      </c>
      <c r="K356" s="34" t="s">
        <v>1992</v>
      </c>
      <c r="L356" s="34" t="s">
        <v>1992</v>
      </c>
      <c r="M356" s="34"/>
      <c r="N356" s="34"/>
      <c r="O356" s="34"/>
      <c r="P356" s="102"/>
      <c r="Q356" s="34"/>
      <c r="R356" s="102"/>
    </row>
    <row r="357" spans="1:18" ht="16.5" x14ac:dyDescent="0.35">
      <c r="A357" s="34" t="s">
        <v>1989</v>
      </c>
      <c r="B357" s="34" t="s">
        <v>1994</v>
      </c>
      <c r="C357" s="20" t="s">
        <v>414</v>
      </c>
      <c r="D357" s="34">
        <v>41</v>
      </c>
      <c r="E357" s="34">
        <v>20</v>
      </c>
      <c r="F357" s="254">
        <v>16.670000000000002</v>
      </c>
      <c r="G357" s="174" t="s">
        <v>608</v>
      </c>
      <c r="H357" s="34" t="s">
        <v>1992</v>
      </c>
      <c r="I357" s="34" t="s">
        <v>1992</v>
      </c>
      <c r="J357" s="20" t="s">
        <v>1992</v>
      </c>
      <c r="K357" s="34" t="s">
        <v>1992</v>
      </c>
      <c r="L357" s="34" t="s">
        <v>1992</v>
      </c>
      <c r="M357" s="34"/>
      <c r="N357" s="34"/>
      <c r="O357" s="34"/>
      <c r="P357" s="102"/>
      <c r="Q357" s="34"/>
      <c r="R357" s="102"/>
    </row>
    <row r="358" spans="1:18" ht="16.5" x14ac:dyDescent="0.35">
      <c r="A358" s="34" t="s">
        <v>1989</v>
      </c>
      <c r="B358" s="34" t="s">
        <v>1987</v>
      </c>
      <c r="C358" s="20" t="s">
        <v>415</v>
      </c>
      <c r="D358" s="34">
        <v>2</v>
      </c>
      <c r="E358" s="34">
        <v>20</v>
      </c>
      <c r="F358" s="254">
        <v>0</v>
      </c>
      <c r="G358" s="174" t="s">
        <v>2003</v>
      </c>
      <c r="H358" s="34" t="s">
        <v>1992</v>
      </c>
      <c r="I358" s="34" t="s">
        <v>1992</v>
      </c>
      <c r="J358" s="20" t="s">
        <v>1992</v>
      </c>
      <c r="K358" s="34" t="s">
        <v>1992</v>
      </c>
      <c r="L358" s="34" t="s">
        <v>1992</v>
      </c>
      <c r="M358" s="34"/>
      <c r="N358" s="34"/>
      <c r="O358" s="34"/>
      <c r="P358" s="102"/>
      <c r="Q358" s="34"/>
      <c r="R358" s="102"/>
    </row>
    <row r="359" spans="1:18" ht="16.5" x14ac:dyDescent="0.35">
      <c r="A359" s="34" t="s">
        <v>1993</v>
      </c>
      <c r="B359" s="34" t="s">
        <v>1987</v>
      </c>
      <c r="C359" s="20" t="s">
        <v>416</v>
      </c>
      <c r="D359" s="34">
        <v>2</v>
      </c>
      <c r="E359" s="34">
        <v>20</v>
      </c>
      <c r="F359" s="254">
        <v>0</v>
      </c>
      <c r="G359" s="174" t="s">
        <v>608</v>
      </c>
      <c r="H359" s="34" t="s">
        <v>1992</v>
      </c>
      <c r="I359" s="34" t="s">
        <v>1992</v>
      </c>
      <c r="J359" s="20" t="s">
        <v>1992</v>
      </c>
      <c r="K359" s="34" t="s">
        <v>1992</v>
      </c>
      <c r="L359" s="34" t="s">
        <v>1992</v>
      </c>
      <c r="M359" s="34"/>
      <c r="N359" s="34"/>
      <c r="O359" s="34"/>
      <c r="P359" s="102"/>
      <c r="Q359" s="34"/>
      <c r="R359" s="102"/>
    </row>
    <row r="360" spans="1:18" ht="16.5" x14ac:dyDescent="0.35">
      <c r="A360" s="34" t="s">
        <v>1993</v>
      </c>
      <c r="B360" s="34" t="s">
        <v>1987</v>
      </c>
      <c r="C360" s="20" t="s">
        <v>417</v>
      </c>
      <c r="D360" s="34">
        <v>4</v>
      </c>
      <c r="E360" s="34">
        <v>20</v>
      </c>
      <c r="F360" s="254">
        <v>0</v>
      </c>
      <c r="G360" s="174" t="s">
        <v>2033</v>
      </c>
      <c r="H360" s="34" t="s">
        <v>1992</v>
      </c>
      <c r="I360" s="34" t="s">
        <v>1992</v>
      </c>
      <c r="J360" s="20" t="s">
        <v>1992</v>
      </c>
      <c r="K360" s="34" t="s">
        <v>1992</v>
      </c>
      <c r="L360" s="34" t="s">
        <v>1992</v>
      </c>
      <c r="M360" s="34"/>
      <c r="N360" s="34"/>
      <c r="O360" s="34"/>
      <c r="P360" s="102"/>
      <c r="Q360" s="34"/>
      <c r="R360" s="102"/>
    </row>
    <row r="361" spans="1:18" ht="16.5" x14ac:dyDescent="0.35">
      <c r="A361" s="34" t="s">
        <v>1993</v>
      </c>
      <c r="B361" s="34" t="s">
        <v>1990</v>
      </c>
      <c r="C361" s="20" t="s">
        <v>418</v>
      </c>
      <c r="D361" s="34">
        <v>4</v>
      </c>
      <c r="E361" s="34">
        <v>20</v>
      </c>
      <c r="F361" s="254">
        <v>3.94</v>
      </c>
      <c r="G361" s="174" t="s">
        <v>573</v>
      </c>
      <c r="H361" s="34" t="s">
        <v>1643</v>
      </c>
      <c r="I361" s="34">
        <v>4</v>
      </c>
      <c r="J361" s="104" t="str">
        <f>HYPERLINK("https://www.examplebusiness.com/resource-center/retirement","https://www.examplebusiness.com/resource-center/retirement")</f>
        <v>https://www.examplebusiness.com/resource-center/retirement</v>
      </c>
      <c r="K361" s="34" t="s">
        <v>1643</v>
      </c>
      <c r="L361" s="34" t="s">
        <v>1643</v>
      </c>
      <c r="M361" s="34"/>
      <c r="N361" s="34"/>
      <c r="O361" s="34"/>
      <c r="P361" s="102"/>
      <c r="Q361" s="34"/>
      <c r="R361" s="102"/>
    </row>
    <row r="362" spans="1:18" ht="16.5" x14ac:dyDescent="0.35">
      <c r="A362" s="34" t="s">
        <v>1986</v>
      </c>
      <c r="B362" s="34" t="s">
        <v>1986</v>
      </c>
      <c r="C362" s="20" t="s">
        <v>419</v>
      </c>
      <c r="D362" s="34">
        <v>0</v>
      </c>
      <c r="E362" s="34">
        <v>20</v>
      </c>
      <c r="F362" s="254">
        <v>0.52</v>
      </c>
      <c r="G362" s="174" t="s">
        <v>580</v>
      </c>
      <c r="H362" s="34" t="s">
        <v>1643</v>
      </c>
      <c r="I362" s="34">
        <v>9</v>
      </c>
      <c r="J362" s="104" t="str">
        <f>HYPERLINK("https://www.examplebusiness.com/team/theresa-goff","https://www.examplebusiness.com/team/theresa-goff")</f>
        <v>https://www.examplebusiness.com/team/theresa-goff</v>
      </c>
      <c r="K362" s="34" t="s">
        <v>1643</v>
      </c>
      <c r="L362" s="34" t="s">
        <v>1643</v>
      </c>
      <c r="M362" s="34"/>
      <c r="N362" s="34"/>
      <c r="O362" s="34"/>
      <c r="P362" s="102"/>
      <c r="Q362" s="34"/>
      <c r="R362" s="102"/>
    </row>
    <row r="363" spans="1:18" ht="16.5" x14ac:dyDescent="0.35">
      <c r="A363" s="34" t="s">
        <v>1986</v>
      </c>
      <c r="B363" s="34" t="s">
        <v>1986</v>
      </c>
      <c r="C363" s="20" t="s">
        <v>420</v>
      </c>
      <c r="D363" s="34">
        <v>0</v>
      </c>
      <c r="E363" s="34">
        <v>20</v>
      </c>
      <c r="F363" s="254">
        <v>0</v>
      </c>
      <c r="G363" s="174" t="s">
        <v>589</v>
      </c>
      <c r="H363" s="34" t="s">
        <v>1643</v>
      </c>
      <c r="I363" s="34">
        <v>21</v>
      </c>
      <c r="J363" s="104" t="str">
        <f>HYPERLINK("https://www.examplebusiness.com/team/tom-whitnah-1","https://www.examplebusiness.com/team/tom-whitnah-1")</f>
        <v>https://www.examplebusiness.com/team/tom-whitnah-1</v>
      </c>
      <c r="K363" s="34" t="s">
        <v>1643</v>
      </c>
      <c r="L363" s="34" t="s">
        <v>1643</v>
      </c>
      <c r="M363" s="34"/>
      <c r="N363" s="34"/>
      <c r="O363" s="34"/>
      <c r="P363" s="102"/>
      <c r="Q363" s="34"/>
      <c r="R363" s="102"/>
    </row>
    <row r="364" spans="1:18" ht="16.5" x14ac:dyDescent="0.35">
      <c r="A364" s="34" t="s">
        <v>1986</v>
      </c>
      <c r="B364" s="34" t="s">
        <v>1986</v>
      </c>
      <c r="C364" s="20" t="s">
        <v>421</v>
      </c>
      <c r="D364" s="34">
        <v>14</v>
      </c>
      <c r="E364" s="34">
        <v>20</v>
      </c>
      <c r="F364" s="254">
        <v>0</v>
      </c>
      <c r="G364" s="174"/>
      <c r="H364" s="34" t="s">
        <v>1643</v>
      </c>
      <c r="I364" s="34">
        <v>21</v>
      </c>
      <c r="J364" s="104" t="str">
        <f>HYPERLINK("https://www.examplebusiness.com/resource-center/lifestyle/should-you-choose-a-fixed-or-variable","https://www.examplebusiness.com/resource-center/lifestyle/should-you-choose-a-fixed-or-variable")</f>
        <v>https://www.examplebusiness.com/resource-center/lifestyle/should-you-choose-a-fixed-or-variable</v>
      </c>
      <c r="K364" s="34" t="s">
        <v>1643</v>
      </c>
      <c r="L364" s="34" t="s">
        <v>1643</v>
      </c>
      <c r="M364" s="34"/>
      <c r="N364" s="34"/>
      <c r="O364" s="34"/>
      <c r="P364" s="102"/>
      <c r="Q364" s="34"/>
      <c r="R364" s="102"/>
    </row>
    <row r="365" spans="1:18" ht="16.5" x14ac:dyDescent="0.35">
      <c r="A365" s="34" t="s">
        <v>1986</v>
      </c>
      <c r="B365" s="34" t="s">
        <v>1986</v>
      </c>
      <c r="C365" s="20" t="s">
        <v>422</v>
      </c>
      <c r="D365" s="34">
        <v>0</v>
      </c>
      <c r="E365" s="34">
        <v>20</v>
      </c>
      <c r="F365" s="254">
        <v>0</v>
      </c>
      <c r="G365" s="174" t="s">
        <v>570</v>
      </c>
      <c r="H365" s="34" t="s">
        <v>1643</v>
      </c>
      <c r="I365" s="34">
        <v>27</v>
      </c>
      <c r="J365" s="104" t="str">
        <f>HYPERLINK("https://www.examplebusiness.com/team/mike-rogers-1","https://www.examplebusiness.com/team/mike-rogers-1")</f>
        <v>https://www.examplebusiness.com/team/mike-rogers-1</v>
      </c>
      <c r="K365" s="34" t="s">
        <v>1643</v>
      </c>
      <c r="L365" s="34" t="s">
        <v>1643</v>
      </c>
      <c r="M365" s="34"/>
      <c r="N365" s="34"/>
      <c r="O365" s="34"/>
      <c r="P365" s="102"/>
      <c r="Q365" s="34"/>
      <c r="R365" s="102"/>
    </row>
    <row r="366" spans="1:18" ht="16.5" x14ac:dyDescent="0.35">
      <c r="A366" s="34" t="s">
        <v>1993</v>
      </c>
      <c r="B366" s="34" t="s">
        <v>1986</v>
      </c>
      <c r="C366" s="20" t="s">
        <v>423</v>
      </c>
      <c r="D366" s="34">
        <v>3</v>
      </c>
      <c r="E366" s="34">
        <v>20</v>
      </c>
      <c r="F366" s="254">
        <v>0</v>
      </c>
      <c r="G366" s="174" t="s">
        <v>568</v>
      </c>
      <c r="H366" s="34" t="s">
        <v>1643</v>
      </c>
      <c r="I366" s="34">
        <v>52</v>
      </c>
      <c r="J366" s="104" t="str">
        <f>HYPERLINK("https://www.examplebusiness.com/blog/teaching-money-mindfulness-to-your-children","https://www.examplebusiness.com/blog/teaching-money-mindfulness-to-your-children")</f>
        <v>https://www.examplebusiness.com/blog/teaching-money-mindfulness-to-your-children</v>
      </c>
      <c r="K366" s="34" t="s">
        <v>1643</v>
      </c>
      <c r="L366" s="34" t="s">
        <v>1643</v>
      </c>
      <c r="M366" s="34"/>
      <c r="N366" s="34"/>
      <c r="O366" s="34"/>
      <c r="P366" s="102"/>
      <c r="Q366" s="34"/>
      <c r="R366" s="102"/>
    </row>
    <row r="367" spans="1:18" ht="16.5" x14ac:dyDescent="0.35">
      <c r="A367" s="34" t="s">
        <v>1988</v>
      </c>
      <c r="B367" s="34" t="s">
        <v>1986</v>
      </c>
      <c r="C367" s="20" t="s">
        <v>424</v>
      </c>
      <c r="D367" s="34">
        <v>6</v>
      </c>
      <c r="E367" s="34">
        <v>20</v>
      </c>
      <c r="F367" s="254" t="s">
        <v>70</v>
      </c>
      <c r="G367" s="174" t="s">
        <v>588</v>
      </c>
      <c r="H367" s="34" t="s">
        <v>1643</v>
      </c>
      <c r="I367" s="34">
        <v>54</v>
      </c>
      <c r="J367" s="104" t="str">
        <f>HYPERLINK("https://www.examplebusiness.com/resource-center/money/life-and-death-of-a-20-dollar-bill","https://www.examplebusiness.com/resource-center/money/life-and-death-of-a-20-dollar-bill")</f>
        <v>https://www.examplebusiness.com/resource-center/money/life-and-death-of-a-20-dollar-bill</v>
      </c>
      <c r="K367" s="34" t="s">
        <v>1643</v>
      </c>
      <c r="L367" s="34" t="s">
        <v>1643</v>
      </c>
      <c r="M367" s="34"/>
      <c r="N367" s="34"/>
      <c r="O367" s="34"/>
      <c r="P367" s="102"/>
      <c r="Q367" s="34"/>
      <c r="R367" s="102"/>
    </row>
    <row r="368" spans="1:18" ht="16.5" x14ac:dyDescent="0.35">
      <c r="A368" s="34" t="s">
        <v>1986</v>
      </c>
      <c r="B368" s="34" t="s">
        <v>1986</v>
      </c>
      <c r="C368" s="20" t="s">
        <v>425</v>
      </c>
      <c r="D368" s="34">
        <v>0</v>
      </c>
      <c r="E368" s="34">
        <v>20</v>
      </c>
      <c r="F368" s="254">
        <v>0</v>
      </c>
      <c r="G368" s="174" t="s">
        <v>617</v>
      </c>
      <c r="H368" s="34" t="s">
        <v>1643</v>
      </c>
      <c r="I368" s="34">
        <v>59</v>
      </c>
      <c r="J368" s="104" t="str">
        <f>HYPERLINK("https://www.examplebusiness.com/blog/adding-a-personal-backup-with-a-living-trust","https://www.examplebusiness.com/blog/adding-a-personal-backup-with-a-living-trust")</f>
        <v>https://www.examplebusiness.com/blog/adding-a-personal-backup-with-a-living-trust</v>
      </c>
      <c r="K368" s="34" t="s">
        <v>1643</v>
      </c>
      <c r="L368" s="34" t="s">
        <v>1643</v>
      </c>
      <c r="M368" s="34"/>
      <c r="N368" s="34"/>
      <c r="O368" s="34"/>
      <c r="P368" s="102"/>
      <c r="Q368" s="34"/>
      <c r="R368" s="102"/>
    </row>
    <row r="369" spans="1:18" ht="16.5" x14ac:dyDescent="0.35">
      <c r="A369" s="34" t="s">
        <v>1986</v>
      </c>
      <c r="B369" s="34" t="s">
        <v>1986</v>
      </c>
      <c r="C369" s="20" t="s">
        <v>426</v>
      </c>
      <c r="D369" s="34">
        <v>2</v>
      </c>
      <c r="E369" s="34">
        <v>20</v>
      </c>
      <c r="F369" s="254">
        <v>0</v>
      </c>
      <c r="G369" s="174" t="s">
        <v>600</v>
      </c>
      <c r="H369" s="34" t="s">
        <v>1643</v>
      </c>
      <c r="I369" s="34">
        <v>62</v>
      </c>
      <c r="J369" s="104" t="str">
        <f>HYPERLINK("https://www.examplebusiness.com/blog/end-of-year-eoy-deadlines-checklist","https://www.examplebusiness.com/blog/end-of-year-eoy-deadlines-checklist")</f>
        <v>https://www.examplebusiness.com/blog/end-of-year-eoy-deadlines-checklist</v>
      </c>
      <c r="K369" s="34" t="s">
        <v>1643</v>
      </c>
      <c r="L369" s="34" t="s">
        <v>1643</v>
      </c>
      <c r="M369" s="34"/>
      <c r="N369" s="34"/>
      <c r="O369" s="34"/>
      <c r="P369" s="102"/>
      <c r="Q369" s="34"/>
      <c r="R369" s="102"/>
    </row>
    <row r="370" spans="1:18" ht="16.5" x14ac:dyDescent="0.35">
      <c r="A370" s="34" t="s">
        <v>1986</v>
      </c>
      <c r="B370" s="34" t="s">
        <v>1986</v>
      </c>
      <c r="C370" s="20" t="s">
        <v>427</v>
      </c>
      <c r="D370" s="34">
        <v>0</v>
      </c>
      <c r="E370" s="34">
        <v>20</v>
      </c>
      <c r="F370" s="254">
        <v>0</v>
      </c>
      <c r="G370" s="174" t="s">
        <v>586</v>
      </c>
      <c r="H370" s="34" t="s">
        <v>1643</v>
      </c>
      <c r="I370" s="34">
        <v>63</v>
      </c>
      <c r="J370" s="104" t="str">
        <f>HYPERLINK("https://www.examplebusiness.com/","https://www.examplebusiness.com/")</f>
        <v>https://www.examplebusiness.com/</v>
      </c>
      <c r="K370" s="34" t="s">
        <v>1643</v>
      </c>
      <c r="L370" s="34" t="s">
        <v>1643</v>
      </c>
      <c r="M370" s="34"/>
      <c r="N370" s="34"/>
      <c r="O370" s="34"/>
      <c r="P370" s="102"/>
      <c r="Q370" s="34"/>
      <c r="R370" s="102"/>
    </row>
    <row r="371" spans="1:18" ht="16.5" x14ac:dyDescent="0.35">
      <c r="A371" s="34" t="s">
        <v>1986</v>
      </c>
      <c r="B371" s="34" t="s">
        <v>1986</v>
      </c>
      <c r="C371" s="20" t="s">
        <v>428</v>
      </c>
      <c r="D371" s="34">
        <v>0</v>
      </c>
      <c r="E371" s="34">
        <v>20</v>
      </c>
      <c r="F371" s="254">
        <v>0</v>
      </c>
      <c r="G371" s="174" t="s">
        <v>639</v>
      </c>
      <c r="H371" s="34" t="s">
        <v>1643</v>
      </c>
      <c r="I371" s="34">
        <v>64</v>
      </c>
      <c r="J371" s="104" t="str">
        <f>HYPERLINK("https://www.examplebusiness.com/blog/eleven-ways-to-help-yourself-stay-sane-in-a-crazy-market","https://www.examplebusiness.com/blog/eleven-ways-to-help-yourself-stay-sane-in-a-crazy-market")</f>
        <v>https://www.examplebusiness.com/blog/eleven-ways-to-help-yourself-stay-sane-in-a-crazy-market</v>
      </c>
      <c r="K371" s="34" t="s">
        <v>1643</v>
      </c>
      <c r="L371" s="34" t="s">
        <v>1643</v>
      </c>
      <c r="M371" s="34"/>
      <c r="N371" s="34"/>
      <c r="O371" s="34"/>
      <c r="P371" s="102"/>
      <c r="Q371" s="34"/>
      <c r="R371" s="102"/>
    </row>
    <row r="372" spans="1:18" ht="16.5" x14ac:dyDescent="0.35">
      <c r="A372" s="34" t="s">
        <v>1986</v>
      </c>
      <c r="B372" s="34" t="s">
        <v>1986</v>
      </c>
      <c r="C372" s="20" t="s">
        <v>429</v>
      </c>
      <c r="D372" s="34">
        <v>71</v>
      </c>
      <c r="E372" s="34">
        <v>20</v>
      </c>
      <c r="F372" s="254">
        <v>0</v>
      </c>
      <c r="G372" s="174" t="s">
        <v>627</v>
      </c>
      <c r="H372" s="34" t="s">
        <v>1643</v>
      </c>
      <c r="I372" s="34">
        <v>78</v>
      </c>
      <c r="J372" s="104" t="str">
        <f>HYPERLINK("https://www.examplebusiness.com/blog/what-gen-xers-millennials-and-baby-boomers-need-to-know-about-Example-p","https://www.examplebusiness.com/blog/what-gen-xers-millennials-and-baby-boomers-need-to-know-about-Example-p")</f>
        <v>https://www.examplebusiness.com/blog/what-gen-xers-millennials-and-baby-boomers-need-to-know-about-Example-p</v>
      </c>
      <c r="K372" s="34" t="s">
        <v>1643</v>
      </c>
      <c r="L372" s="34" t="s">
        <v>1643</v>
      </c>
      <c r="M372" s="34"/>
      <c r="N372" s="34"/>
      <c r="O372" s="34"/>
      <c r="P372" s="102"/>
      <c r="Q372" s="34"/>
      <c r="R372" s="102"/>
    </row>
    <row r="373" spans="1:18" ht="16.5" x14ac:dyDescent="0.35">
      <c r="A373" s="34" t="s">
        <v>1986</v>
      </c>
      <c r="B373" s="34" t="s">
        <v>1986</v>
      </c>
      <c r="C373" s="20" t="s">
        <v>430</v>
      </c>
      <c r="D373" s="34">
        <v>0</v>
      </c>
      <c r="E373" s="34">
        <v>20</v>
      </c>
      <c r="F373" s="254">
        <v>0</v>
      </c>
      <c r="G373" s="174" t="s">
        <v>570</v>
      </c>
      <c r="H373" s="34" t="s">
        <v>1643</v>
      </c>
      <c r="I373" s="34">
        <v>84</v>
      </c>
      <c r="J373" s="104" t="str">
        <f>HYPERLINK("https://www.examplebusiness.com/resource-center/retirement/investment-strategies-for-retirement?responsive=false","https://www.examplebusiness.com/resource-center/retirement/investment-strategies-for-retirement?responsive=false")</f>
        <v>https://www.examplebusiness.com/resource-center/retirement/investment-strategies-for-retirement?responsive=false</v>
      </c>
      <c r="K373" s="34" t="s">
        <v>1643</v>
      </c>
      <c r="L373" s="34" t="s">
        <v>1643</v>
      </c>
      <c r="M373" s="34"/>
      <c r="N373" s="34"/>
      <c r="O373" s="34"/>
      <c r="P373" s="102"/>
      <c r="Q373" s="34"/>
      <c r="R373" s="102"/>
    </row>
    <row r="374" spans="1:18" ht="16.5" x14ac:dyDescent="0.35">
      <c r="A374" s="34" t="s">
        <v>1986</v>
      </c>
      <c r="B374" s="34" t="s">
        <v>1986</v>
      </c>
      <c r="C374" s="20" t="s">
        <v>431</v>
      </c>
      <c r="D374" s="34">
        <v>0</v>
      </c>
      <c r="E374" s="34">
        <v>20</v>
      </c>
      <c r="F374" s="254">
        <v>0</v>
      </c>
      <c r="G374" s="174" t="s">
        <v>570</v>
      </c>
      <c r="H374" s="34" t="s">
        <v>1643</v>
      </c>
      <c r="I374" s="34">
        <v>88</v>
      </c>
      <c r="J374" s="104" t="str">
        <f>HYPERLINK("https://www.examplebusiness.com/blog/abc-Example-acquires-true-north-capital-alliance","https://www.examplebusiness.com/blog/abc-Example-acquires-true-north-capital-alliance")</f>
        <v>https://www.examplebusiness.com/blog/abc-Example-acquires-true-north-capital-alliance</v>
      </c>
      <c r="K374" s="34" t="s">
        <v>1643</v>
      </c>
      <c r="L374" s="34" t="s">
        <v>1643</v>
      </c>
      <c r="M374" s="34"/>
      <c r="N374" s="34"/>
      <c r="O374" s="34"/>
      <c r="P374" s="102"/>
      <c r="Q374" s="34"/>
      <c r="R374" s="102"/>
    </row>
    <row r="375" spans="1:18" ht="16.5" x14ac:dyDescent="0.35">
      <c r="A375" s="34" t="s">
        <v>1986</v>
      </c>
      <c r="B375" s="34" t="s">
        <v>1987</v>
      </c>
      <c r="C375" s="20" t="s">
        <v>432</v>
      </c>
      <c r="D375" s="34">
        <v>71</v>
      </c>
      <c r="E375" s="34">
        <v>20</v>
      </c>
      <c r="F375" s="254" t="s">
        <v>70</v>
      </c>
      <c r="G375" s="174" t="s">
        <v>588</v>
      </c>
      <c r="H375" s="34" t="s">
        <v>1643</v>
      </c>
      <c r="I375" s="34">
        <v>96</v>
      </c>
      <c r="J375" s="104" t="str">
        <f>HYPERLINK("https://www.examplebusiness.com/tools/glossary","https://www.examplebusiness.com/tools/glossary")</f>
        <v>https://www.examplebusiness.com/tools/glossary</v>
      </c>
      <c r="K375" s="34" t="s">
        <v>1643</v>
      </c>
      <c r="L375" s="34" t="s">
        <v>1643</v>
      </c>
      <c r="M375" s="34"/>
      <c r="N375" s="34"/>
      <c r="O375" s="34"/>
      <c r="P375" s="102"/>
      <c r="Q375" s="34"/>
      <c r="R375" s="102"/>
    </row>
    <row r="376" spans="1:18" ht="16.5" x14ac:dyDescent="0.35">
      <c r="A376" s="34" t="s">
        <v>1986</v>
      </c>
      <c r="B376" s="34" t="s">
        <v>1986</v>
      </c>
      <c r="C376" s="20" t="s">
        <v>433</v>
      </c>
      <c r="D376" s="34">
        <v>83</v>
      </c>
      <c r="E376" s="34">
        <v>20</v>
      </c>
      <c r="F376" s="254" t="s">
        <v>70</v>
      </c>
      <c r="G376" s="174" t="s">
        <v>613</v>
      </c>
      <c r="H376" s="34" t="s">
        <v>1643</v>
      </c>
      <c r="I376" s="34">
        <v>97</v>
      </c>
      <c r="J376" s="104" t="str">
        <f>HYPERLINK("https://www.examplebusiness.com/blog/when-will-the-recession-officially-start","https://www.examplebusiness.com/blog/when-will-the-recession-officially-start")</f>
        <v>https://www.examplebusiness.com/blog/when-will-the-recession-officially-start</v>
      </c>
      <c r="K376" s="34" t="s">
        <v>1643</v>
      </c>
      <c r="L376" s="34" t="s">
        <v>1643</v>
      </c>
      <c r="M376" s="34"/>
      <c r="N376" s="34"/>
      <c r="O376" s="34"/>
      <c r="P376" s="102"/>
      <c r="Q376" s="34"/>
      <c r="R376" s="102"/>
    </row>
    <row r="377" spans="1:18" ht="16.5" x14ac:dyDescent="0.35">
      <c r="A377" s="34" t="s">
        <v>1986</v>
      </c>
      <c r="B377" s="34" t="s">
        <v>1986</v>
      </c>
      <c r="C377" s="20" t="s">
        <v>434</v>
      </c>
      <c r="D377" s="34">
        <v>22</v>
      </c>
      <c r="E377" s="34">
        <v>20</v>
      </c>
      <c r="F377" s="254">
        <v>0</v>
      </c>
      <c r="G377" s="174" t="s">
        <v>633</v>
      </c>
      <c r="H377" s="34" t="s">
        <v>1643</v>
      </c>
      <c r="I377" s="34">
        <v>98</v>
      </c>
      <c r="J377" s="104" t="str">
        <f>HYPERLINK("https://www.examplebusiness.com/resource-center/money/pay-yourself-first","https://www.examplebusiness.com/resource-center/money/pay-yourself-first")</f>
        <v>https://www.examplebusiness.com/resource-center/money/pay-yourself-first</v>
      </c>
      <c r="K377" s="34" t="s">
        <v>1643</v>
      </c>
      <c r="L377" s="34" t="s">
        <v>1643</v>
      </c>
      <c r="M377" s="34"/>
      <c r="N377" s="34"/>
      <c r="O377" s="34"/>
      <c r="P377" s="102"/>
      <c r="Q377" s="34"/>
      <c r="R377" s="102"/>
    </row>
    <row r="378" spans="1:18" ht="16.5" x14ac:dyDescent="0.35">
      <c r="A378" s="34" t="s">
        <v>1988</v>
      </c>
      <c r="B378" s="34" t="s">
        <v>1986</v>
      </c>
      <c r="C378" s="20" t="s">
        <v>435</v>
      </c>
      <c r="D378" s="34">
        <v>29</v>
      </c>
      <c r="E378" s="34">
        <v>20</v>
      </c>
      <c r="F378" s="254">
        <v>9.0299999999999994</v>
      </c>
      <c r="G378" s="174" t="s">
        <v>603</v>
      </c>
      <c r="H378" s="34" t="s">
        <v>1643</v>
      </c>
      <c r="I378" s="34">
        <v>98</v>
      </c>
      <c r="J378" s="104" t="str">
        <f>HYPERLINK("https://www.examplebusiness.com/resource-center/insurance/how-does-whole-life-insurance-work","https://www.examplebusiness.com/resource-center/insurance/how-does-whole-life-insurance-work")</f>
        <v>https://www.examplebusiness.com/resource-center/insurance/how-does-whole-life-insurance-work</v>
      </c>
      <c r="K378" s="34" t="s">
        <v>1643</v>
      </c>
      <c r="L378" s="34" t="s">
        <v>1643</v>
      </c>
      <c r="M378" s="34"/>
      <c r="N378" s="34"/>
      <c r="O378" s="34"/>
      <c r="P378" s="102"/>
      <c r="Q378" s="34"/>
      <c r="R378" s="102"/>
    </row>
    <row r="379" spans="1:18" ht="16.5" x14ac:dyDescent="0.35">
      <c r="A379" s="34" t="s">
        <v>1989</v>
      </c>
      <c r="B379" s="34" t="s">
        <v>1994</v>
      </c>
      <c r="C379" s="20" t="s">
        <v>436</v>
      </c>
      <c r="D379" s="34">
        <v>49</v>
      </c>
      <c r="E379" s="34">
        <v>15</v>
      </c>
      <c r="F379" s="254">
        <v>9.8650000000000002</v>
      </c>
      <c r="G379" s="174" t="s">
        <v>2038</v>
      </c>
      <c r="H379" s="34" t="s">
        <v>1992</v>
      </c>
      <c r="I379" s="34" t="s">
        <v>1992</v>
      </c>
      <c r="J379" s="20" t="s">
        <v>1992</v>
      </c>
      <c r="K379" s="34" t="s">
        <v>1992</v>
      </c>
      <c r="L379" s="34" t="s">
        <v>1992</v>
      </c>
      <c r="M379" s="34"/>
      <c r="N379" s="34"/>
      <c r="O379" s="34"/>
      <c r="P379" s="102"/>
      <c r="Q379" s="34"/>
      <c r="R379" s="102"/>
    </row>
    <row r="380" spans="1:18" ht="16.5" x14ac:dyDescent="0.35">
      <c r="A380" s="34" t="s">
        <v>1989</v>
      </c>
      <c r="B380" s="34" t="s">
        <v>1994</v>
      </c>
      <c r="C380" s="20" t="s">
        <v>437</v>
      </c>
      <c r="D380" s="34">
        <v>34</v>
      </c>
      <c r="E380" s="34">
        <v>15</v>
      </c>
      <c r="F380" s="254">
        <v>0</v>
      </c>
      <c r="G380" s="174" t="s">
        <v>1995</v>
      </c>
      <c r="H380" s="34" t="s">
        <v>1992</v>
      </c>
      <c r="I380" s="34" t="s">
        <v>1992</v>
      </c>
      <c r="J380" s="20" t="s">
        <v>1992</v>
      </c>
      <c r="K380" s="34" t="s">
        <v>1992</v>
      </c>
      <c r="L380" s="34" t="s">
        <v>1992</v>
      </c>
      <c r="M380" s="34"/>
      <c r="N380" s="34"/>
      <c r="O380" s="34"/>
      <c r="P380" s="102"/>
      <c r="Q380" s="34"/>
      <c r="R380" s="102"/>
    </row>
    <row r="381" spans="1:18" ht="16.5" x14ac:dyDescent="0.35">
      <c r="A381" s="34" t="s">
        <v>1989</v>
      </c>
      <c r="B381" s="34" t="s">
        <v>1994</v>
      </c>
      <c r="C381" s="20" t="s">
        <v>438</v>
      </c>
      <c r="D381" s="34">
        <v>36</v>
      </c>
      <c r="E381" s="34">
        <v>15</v>
      </c>
      <c r="F381" s="254">
        <v>17.5</v>
      </c>
      <c r="G381" s="174" t="s">
        <v>2039</v>
      </c>
      <c r="H381" s="34" t="s">
        <v>1992</v>
      </c>
      <c r="I381" s="34" t="s">
        <v>1992</v>
      </c>
      <c r="J381" s="20" t="s">
        <v>1992</v>
      </c>
      <c r="K381" s="34" t="s">
        <v>1992</v>
      </c>
      <c r="L381" s="34" t="s">
        <v>1992</v>
      </c>
      <c r="M381" s="34"/>
      <c r="N381" s="34"/>
      <c r="O381" s="34"/>
      <c r="P381" s="102"/>
      <c r="Q381" s="34"/>
      <c r="R381" s="102"/>
    </row>
    <row r="382" spans="1:18" ht="16.5" x14ac:dyDescent="0.35">
      <c r="A382" s="34" t="s">
        <v>1989</v>
      </c>
      <c r="B382" s="34" t="s">
        <v>1994</v>
      </c>
      <c r="C382" s="20" t="s">
        <v>439</v>
      </c>
      <c r="D382" s="34"/>
      <c r="E382" s="34">
        <v>15</v>
      </c>
      <c r="F382" s="254">
        <v>23.33</v>
      </c>
      <c r="G382" s="174"/>
      <c r="H382" s="34" t="s">
        <v>1992</v>
      </c>
      <c r="I382" s="34" t="s">
        <v>1992</v>
      </c>
      <c r="J382" s="20" t="s">
        <v>1992</v>
      </c>
      <c r="K382" s="34" t="s">
        <v>1992</v>
      </c>
      <c r="L382" s="34" t="s">
        <v>1992</v>
      </c>
      <c r="M382" s="34"/>
      <c r="N382" s="34"/>
      <c r="O382" s="34"/>
      <c r="P382" s="102"/>
      <c r="Q382" s="34"/>
      <c r="R382" s="102"/>
    </row>
    <row r="383" spans="1:18" ht="16.5" x14ac:dyDescent="0.35">
      <c r="A383" s="34" t="s">
        <v>1989</v>
      </c>
      <c r="B383" s="34" t="s">
        <v>1987</v>
      </c>
      <c r="C383" s="20" t="s">
        <v>440</v>
      </c>
      <c r="D383" s="34">
        <v>8</v>
      </c>
      <c r="E383" s="34">
        <v>15</v>
      </c>
      <c r="F383" s="254">
        <v>9.23</v>
      </c>
      <c r="G383" s="174" t="s">
        <v>2040</v>
      </c>
      <c r="H383" s="34" t="s">
        <v>1992</v>
      </c>
      <c r="I383" s="34" t="s">
        <v>1992</v>
      </c>
      <c r="J383" s="20" t="s">
        <v>1992</v>
      </c>
      <c r="K383" s="34" t="s">
        <v>1992</v>
      </c>
      <c r="L383" s="34" t="s">
        <v>1992</v>
      </c>
      <c r="M383" s="34"/>
      <c r="N383" s="34"/>
      <c r="O383" s="34"/>
      <c r="P383" s="102"/>
      <c r="Q383" s="34"/>
      <c r="R383" s="102"/>
    </row>
    <row r="384" spans="1:18" ht="16.5" x14ac:dyDescent="0.35">
      <c r="A384" s="34" t="s">
        <v>1989</v>
      </c>
      <c r="B384" s="34" t="s">
        <v>2001</v>
      </c>
      <c r="C384" s="20" t="s">
        <v>441</v>
      </c>
      <c r="D384" s="34"/>
      <c r="E384" s="34">
        <v>15</v>
      </c>
      <c r="F384" s="254">
        <v>3.08</v>
      </c>
      <c r="G384" s="174"/>
      <c r="H384" s="34" t="s">
        <v>1992</v>
      </c>
      <c r="I384" s="34" t="s">
        <v>1992</v>
      </c>
      <c r="J384" s="20" t="s">
        <v>1992</v>
      </c>
      <c r="K384" s="34" t="s">
        <v>1992</v>
      </c>
      <c r="L384" s="34" t="s">
        <v>1992</v>
      </c>
      <c r="M384" s="34"/>
      <c r="N384" s="34"/>
      <c r="O384" s="34"/>
      <c r="P384" s="102"/>
      <c r="Q384" s="34"/>
      <c r="R384" s="102"/>
    </row>
    <row r="385" spans="1:18" ht="16.5" x14ac:dyDescent="0.35">
      <c r="A385" s="34" t="s">
        <v>1989</v>
      </c>
      <c r="B385" s="34" t="s">
        <v>1994</v>
      </c>
      <c r="C385" s="20" t="s">
        <v>442</v>
      </c>
      <c r="D385" s="34"/>
      <c r="E385" s="34">
        <v>15</v>
      </c>
      <c r="F385" s="254">
        <v>0</v>
      </c>
      <c r="G385" s="174"/>
      <c r="H385" s="34" t="s">
        <v>1992</v>
      </c>
      <c r="I385" s="34" t="s">
        <v>1992</v>
      </c>
      <c r="J385" s="20" t="s">
        <v>1992</v>
      </c>
      <c r="K385" s="34" t="s">
        <v>1992</v>
      </c>
      <c r="L385" s="34" t="s">
        <v>1992</v>
      </c>
      <c r="M385" s="34"/>
      <c r="N385" s="34"/>
      <c r="O385" s="34"/>
      <c r="P385" s="102"/>
      <c r="Q385" s="34"/>
      <c r="R385" s="102"/>
    </row>
    <row r="386" spans="1:18" ht="16.5" x14ac:dyDescent="0.35">
      <c r="A386" s="34" t="s">
        <v>1989</v>
      </c>
      <c r="B386" s="34" t="s">
        <v>1994</v>
      </c>
      <c r="C386" s="20" t="s">
        <v>443</v>
      </c>
      <c r="D386" s="34">
        <v>42</v>
      </c>
      <c r="E386" s="34">
        <v>15</v>
      </c>
      <c r="F386" s="254">
        <v>8.0950000000000006</v>
      </c>
      <c r="G386" s="174" t="s">
        <v>569</v>
      </c>
      <c r="H386" s="34" t="s">
        <v>1992</v>
      </c>
      <c r="I386" s="34" t="s">
        <v>1992</v>
      </c>
      <c r="J386" s="20" t="s">
        <v>1992</v>
      </c>
      <c r="K386" s="34" t="s">
        <v>1992</v>
      </c>
      <c r="L386" s="34" t="s">
        <v>1992</v>
      </c>
      <c r="M386" s="34"/>
      <c r="N386" s="34"/>
      <c r="O386" s="34"/>
      <c r="P386" s="102"/>
      <c r="Q386" s="34"/>
      <c r="R386" s="102"/>
    </row>
    <row r="387" spans="1:18" ht="16.5" x14ac:dyDescent="0.35">
      <c r="A387" s="34" t="s">
        <v>1989</v>
      </c>
      <c r="B387" s="34" t="s">
        <v>1994</v>
      </c>
      <c r="C387" s="20" t="s">
        <v>444</v>
      </c>
      <c r="D387" s="34">
        <v>42</v>
      </c>
      <c r="E387" s="34">
        <v>15</v>
      </c>
      <c r="F387" s="254">
        <v>20.984999999999999</v>
      </c>
      <c r="G387" s="174" t="s">
        <v>1997</v>
      </c>
      <c r="H387" s="34" t="s">
        <v>1992</v>
      </c>
      <c r="I387" s="34" t="s">
        <v>1992</v>
      </c>
      <c r="J387" s="20" t="s">
        <v>1992</v>
      </c>
      <c r="K387" s="34" t="s">
        <v>1992</v>
      </c>
      <c r="L387" s="34" t="s">
        <v>1992</v>
      </c>
      <c r="M387" s="34"/>
      <c r="N387" s="34"/>
      <c r="O387" s="34"/>
      <c r="P387" s="102"/>
      <c r="Q387" s="34"/>
      <c r="R387" s="102"/>
    </row>
    <row r="388" spans="1:18" ht="16.5" x14ac:dyDescent="0.35">
      <c r="A388" s="34" t="s">
        <v>1989</v>
      </c>
      <c r="B388" s="34" t="s">
        <v>1990</v>
      </c>
      <c r="C388" s="20" t="s">
        <v>445</v>
      </c>
      <c r="D388" s="34"/>
      <c r="E388" s="34">
        <v>15</v>
      </c>
      <c r="F388" s="254">
        <v>0</v>
      </c>
      <c r="G388" s="174"/>
      <c r="H388" s="34" t="s">
        <v>1992</v>
      </c>
      <c r="I388" s="34" t="s">
        <v>1992</v>
      </c>
      <c r="J388" s="20" t="s">
        <v>1992</v>
      </c>
      <c r="K388" s="34" t="s">
        <v>1992</v>
      </c>
      <c r="L388" s="34" t="s">
        <v>1992</v>
      </c>
      <c r="M388" s="34"/>
      <c r="N388" s="34"/>
      <c r="O388" s="34"/>
      <c r="P388" s="102"/>
      <c r="Q388" s="34"/>
      <c r="R388" s="102"/>
    </row>
    <row r="389" spans="1:18" ht="16.5" x14ac:dyDescent="0.35">
      <c r="A389" s="34" t="s">
        <v>1989</v>
      </c>
      <c r="B389" s="34" t="s">
        <v>1994</v>
      </c>
      <c r="C389" s="20" t="s">
        <v>446</v>
      </c>
      <c r="D389" s="34"/>
      <c r="E389" s="34">
        <v>15</v>
      </c>
      <c r="F389" s="254">
        <v>7.29</v>
      </c>
      <c r="G389" s="174"/>
      <c r="H389" s="34" t="s">
        <v>1992</v>
      </c>
      <c r="I389" s="34" t="s">
        <v>1992</v>
      </c>
      <c r="J389" s="20" t="s">
        <v>1992</v>
      </c>
      <c r="K389" s="34" t="s">
        <v>1992</v>
      </c>
      <c r="L389" s="34" t="s">
        <v>1992</v>
      </c>
      <c r="M389" s="34"/>
      <c r="N389" s="34"/>
      <c r="O389" s="34"/>
      <c r="P389" s="102"/>
      <c r="Q389" s="34"/>
      <c r="R389" s="102"/>
    </row>
    <row r="390" spans="1:18" ht="16.5" x14ac:dyDescent="0.35">
      <c r="A390" s="34" t="s">
        <v>1993</v>
      </c>
      <c r="B390" s="34" t="s">
        <v>1994</v>
      </c>
      <c r="C390" s="20" t="s">
        <v>447</v>
      </c>
      <c r="D390" s="34"/>
      <c r="E390" s="34">
        <v>15</v>
      </c>
      <c r="F390" s="254">
        <v>0</v>
      </c>
      <c r="G390" s="174"/>
      <c r="H390" s="34" t="s">
        <v>1992</v>
      </c>
      <c r="I390" s="34" t="s">
        <v>1992</v>
      </c>
      <c r="J390" s="20" t="s">
        <v>1992</v>
      </c>
      <c r="K390" s="34" t="s">
        <v>1992</v>
      </c>
      <c r="L390" s="34" t="s">
        <v>1992</v>
      </c>
      <c r="M390" s="34"/>
      <c r="N390" s="34"/>
      <c r="O390" s="34"/>
      <c r="P390" s="102"/>
      <c r="Q390" s="34"/>
      <c r="R390" s="102"/>
    </row>
    <row r="391" spans="1:18" ht="16.5" x14ac:dyDescent="0.35">
      <c r="A391" s="34" t="s">
        <v>1989</v>
      </c>
      <c r="B391" s="34" t="s">
        <v>1994</v>
      </c>
      <c r="C391" s="20" t="s">
        <v>448</v>
      </c>
      <c r="D391" s="34"/>
      <c r="E391" s="34">
        <v>15</v>
      </c>
      <c r="F391" s="254">
        <v>27.6</v>
      </c>
      <c r="G391" s="174"/>
      <c r="H391" s="34" t="s">
        <v>1992</v>
      </c>
      <c r="I391" s="34" t="s">
        <v>1992</v>
      </c>
      <c r="J391" s="20" t="s">
        <v>1992</v>
      </c>
      <c r="K391" s="34" t="s">
        <v>1992</v>
      </c>
      <c r="L391" s="34" t="s">
        <v>1992</v>
      </c>
      <c r="M391" s="34"/>
      <c r="N391" s="34"/>
      <c r="O391" s="34"/>
      <c r="P391" s="102"/>
      <c r="Q391" s="34"/>
      <c r="R391" s="102"/>
    </row>
    <row r="392" spans="1:18" ht="16.5" x14ac:dyDescent="0.35">
      <c r="A392" s="34" t="s">
        <v>1989</v>
      </c>
      <c r="B392" s="34" t="s">
        <v>1994</v>
      </c>
      <c r="C392" s="20" t="s">
        <v>449</v>
      </c>
      <c r="D392" s="34">
        <v>45</v>
      </c>
      <c r="E392" s="34">
        <v>15</v>
      </c>
      <c r="F392" s="254">
        <v>11</v>
      </c>
      <c r="G392" s="174" t="s">
        <v>1997</v>
      </c>
      <c r="H392" s="34" t="s">
        <v>1992</v>
      </c>
      <c r="I392" s="34" t="s">
        <v>1992</v>
      </c>
      <c r="J392" s="20" t="s">
        <v>1992</v>
      </c>
      <c r="K392" s="34" t="s">
        <v>1992</v>
      </c>
      <c r="L392" s="34" t="s">
        <v>1992</v>
      </c>
      <c r="M392" s="34"/>
      <c r="N392" s="34"/>
      <c r="O392" s="34"/>
      <c r="P392" s="102"/>
      <c r="Q392" s="34"/>
      <c r="R392" s="102"/>
    </row>
    <row r="393" spans="1:18" ht="16.5" x14ac:dyDescent="0.35">
      <c r="A393" s="34" t="s">
        <v>1989</v>
      </c>
      <c r="B393" s="34" t="s">
        <v>1986</v>
      </c>
      <c r="C393" s="20" t="s">
        <v>2542</v>
      </c>
      <c r="D393" s="34">
        <v>8</v>
      </c>
      <c r="E393" s="34">
        <v>15</v>
      </c>
      <c r="F393" s="254">
        <v>27.43</v>
      </c>
      <c r="G393" s="174" t="s">
        <v>2041</v>
      </c>
      <c r="H393" s="34" t="s">
        <v>1992</v>
      </c>
      <c r="I393" s="34" t="s">
        <v>1992</v>
      </c>
      <c r="J393" s="20" t="s">
        <v>1992</v>
      </c>
      <c r="K393" s="34" t="s">
        <v>1992</v>
      </c>
      <c r="L393" s="34" t="s">
        <v>1992</v>
      </c>
      <c r="M393" s="34"/>
      <c r="N393" s="34"/>
      <c r="O393" s="34"/>
      <c r="P393" s="102"/>
      <c r="Q393" s="34"/>
      <c r="R393" s="102"/>
    </row>
    <row r="394" spans="1:18" ht="16.5" x14ac:dyDescent="0.35">
      <c r="A394" s="34" t="s">
        <v>1989</v>
      </c>
      <c r="B394" s="34" t="s">
        <v>1986</v>
      </c>
      <c r="C394" s="20" t="s">
        <v>2545</v>
      </c>
      <c r="D394" s="34">
        <v>49</v>
      </c>
      <c r="E394" s="34">
        <v>15</v>
      </c>
      <c r="F394" s="254">
        <v>4.4649999999999999</v>
      </c>
      <c r="G394" s="174" t="s">
        <v>1997</v>
      </c>
      <c r="H394" s="34" t="s">
        <v>1992</v>
      </c>
      <c r="I394" s="34" t="s">
        <v>1992</v>
      </c>
      <c r="J394" s="20" t="s">
        <v>1992</v>
      </c>
      <c r="K394" s="34" t="s">
        <v>1992</v>
      </c>
      <c r="L394" s="34" t="s">
        <v>1992</v>
      </c>
      <c r="M394" s="34"/>
      <c r="N394" s="34"/>
      <c r="O394" s="34"/>
      <c r="P394" s="102"/>
      <c r="Q394" s="34"/>
      <c r="R394" s="102"/>
    </row>
    <row r="395" spans="1:18" ht="16.5" x14ac:dyDescent="0.35">
      <c r="A395" s="34" t="s">
        <v>1986</v>
      </c>
      <c r="B395" s="34" t="s">
        <v>1986</v>
      </c>
      <c r="C395" s="20" t="s">
        <v>450</v>
      </c>
      <c r="D395" s="34">
        <v>0</v>
      </c>
      <c r="E395" s="34">
        <v>15</v>
      </c>
      <c r="F395" s="254">
        <v>0</v>
      </c>
      <c r="G395" s="174" t="s">
        <v>570</v>
      </c>
      <c r="H395" s="34" t="s">
        <v>1643</v>
      </c>
      <c r="I395" s="34">
        <v>1</v>
      </c>
      <c r="J395" s="104" t="str">
        <f>HYPERLINK("https://www.examplebusiness.com/team/tom-whitnah-1","https://www.examplebusiness.com/team/tom-whitnah-1")</f>
        <v>https://www.examplebusiness.com/team/tom-whitnah-1</v>
      </c>
      <c r="K395" s="34" t="s">
        <v>1643</v>
      </c>
      <c r="L395" s="34" t="s">
        <v>1643</v>
      </c>
      <c r="M395" s="34"/>
      <c r="N395" s="34"/>
      <c r="O395" s="34"/>
      <c r="P395" s="102"/>
      <c r="Q395" s="34"/>
      <c r="R395" s="102"/>
    </row>
    <row r="396" spans="1:18" ht="16.5" x14ac:dyDescent="0.35">
      <c r="A396" s="34" t="s">
        <v>1986</v>
      </c>
      <c r="B396" s="34" t="s">
        <v>1986</v>
      </c>
      <c r="C396" s="20" t="s">
        <v>451</v>
      </c>
      <c r="D396" s="34">
        <v>4</v>
      </c>
      <c r="E396" s="34">
        <v>15</v>
      </c>
      <c r="F396" s="254">
        <v>0</v>
      </c>
      <c r="G396" s="174"/>
      <c r="H396" s="34" t="s">
        <v>1643</v>
      </c>
      <c r="I396" s="34">
        <v>18</v>
      </c>
      <c r="J396" s="104" t="str">
        <f>HYPERLINK("https://www.examplebusiness.com/team/jeff-thompson-1","https://www.examplebusiness.com/team/jeff-thompson-1")</f>
        <v>https://www.examplebusiness.com/team/jeff-thompson-1</v>
      </c>
      <c r="K396" s="34" t="s">
        <v>1643</v>
      </c>
      <c r="L396" s="34" t="s">
        <v>1643</v>
      </c>
      <c r="M396" s="34"/>
      <c r="N396" s="34"/>
      <c r="O396" s="34"/>
      <c r="P396" s="102"/>
      <c r="Q396" s="34"/>
      <c r="R396" s="102"/>
    </row>
    <row r="397" spans="1:18" ht="16.5" x14ac:dyDescent="0.35">
      <c r="A397" s="34" t="s">
        <v>1986</v>
      </c>
      <c r="B397" s="34" t="s">
        <v>1986</v>
      </c>
      <c r="C397" s="20" t="s">
        <v>452</v>
      </c>
      <c r="D397" s="34">
        <v>11</v>
      </c>
      <c r="E397" s="34">
        <v>15</v>
      </c>
      <c r="F397" s="254">
        <v>0</v>
      </c>
      <c r="G397" s="174" t="s">
        <v>572</v>
      </c>
      <c r="H397" s="34" t="s">
        <v>1643</v>
      </c>
      <c r="I397" s="34">
        <v>18</v>
      </c>
      <c r="J397" s="104" t="str">
        <f>HYPERLINK("https://www.examplebusiness.com/team/jeff-thompson-1","https://www.examplebusiness.com/team/jeff-thompson-1")</f>
        <v>https://www.examplebusiness.com/team/jeff-thompson-1</v>
      </c>
      <c r="K397" s="34" t="s">
        <v>1643</v>
      </c>
      <c r="L397" s="34" t="s">
        <v>1643</v>
      </c>
      <c r="M397" s="34"/>
      <c r="N397" s="34"/>
      <c r="O397" s="34"/>
      <c r="P397" s="102"/>
      <c r="Q397" s="34"/>
      <c r="R397" s="102"/>
    </row>
    <row r="398" spans="1:18" ht="16.5" x14ac:dyDescent="0.35">
      <c r="A398" s="34" t="s">
        <v>1986</v>
      </c>
      <c r="B398" s="34" t="s">
        <v>1986</v>
      </c>
      <c r="C398" s="20" t="s">
        <v>453</v>
      </c>
      <c r="D398" s="34">
        <v>1</v>
      </c>
      <c r="E398" s="34">
        <v>15</v>
      </c>
      <c r="F398" s="254">
        <v>2.96</v>
      </c>
      <c r="G398" s="174" t="s">
        <v>592</v>
      </c>
      <c r="H398" s="34" t="s">
        <v>1643</v>
      </c>
      <c r="I398" s="34">
        <v>24</v>
      </c>
      <c r="J398" s="104" t="str">
        <f>HYPERLINK("https://www.examplebusiness.com/tax-planning-strategies","https://www.examplebusiness.com/tax-planning-strategies")</f>
        <v>https://www.examplebusiness.com/tax-planning-strategies</v>
      </c>
      <c r="K398" s="34" t="s">
        <v>1643</v>
      </c>
      <c r="L398" s="34" t="s">
        <v>1643</v>
      </c>
      <c r="M398" s="34"/>
      <c r="N398" s="34"/>
      <c r="O398" s="34"/>
      <c r="P398" s="102"/>
      <c r="Q398" s="34"/>
      <c r="R398" s="102"/>
    </row>
    <row r="399" spans="1:18" ht="16.5" x14ac:dyDescent="0.35">
      <c r="A399" s="34" t="s">
        <v>1988</v>
      </c>
      <c r="B399" s="34" t="s">
        <v>1986</v>
      </c>
      <c r="C399" s="20" t="s">
        <v>454</v>
      </c>
      <c r="D399" s="34">
        <v>6</v>
      </c>
      <c r="E399" s="34">
        <v>15</v>
      </c>
      <c r="F399" s="254">
        <v>0</v>
      </c>
      <c r="G399" s="174" t="s">
        <v>600</v>
      </c>
      <c r="H399" s="34" t="s">
        <v>1643</v>
      </c>
      <c r="I399" s="34">
        <v>32</v>
      </c>
      <c r="J399" s="104" t="str">
        <f>HYPERLINK("https://www.examplebusiness.com/resource-center/money/life-and-death-of-a-20-dollar-bill","https://www.examplebusiness.com/resource-center/money/life-and-death-of-a-20-dollar-bill")</f>
        <v>https://www.examplebusiness.com/resource-center/money/life-and-death-of-a-20-dollar-bill</v>
      </c>
      <c r="K399" s="34" t="s">
        <v>1643</v>
      </c>
      <c r="L399" s="34" t="s">
        <v>1643</v>
      </c>
      <c r="M399" s="34"/>
      <c r="N399" s="34"/>
      <c r="O399" s="34"/>
      <c r="P399" s="102"/>
      <c r="Q399" s="34"/>
      <c r="R399" s="102"/>
    </row>
    <row r="400" spans="1:18" ht="16.5" x14ac:dyDescent="0.35">
      <c r="A400" s="34" t="s">
        <v>1986</v>
      </c>
      <c r="B400" s="34" t="s">
        <v>1986</v>
      </c>
      <c r="C400" s="20" t="s">
        <v>2548</v>
      </c>
      <c r="D400" s="34">
        <v>7</v>
      </c>
      <c r="E400" s="34">
        <v>15</v>
      </c>
      <c r="F400" s="254">
        <v>0</v>
      </c>
      <c r="G400" s="174" t="s">
        <v>609</v>
      </c>
      <c r="H400" s="34" t="s">
        <v>1643</v>
      </c>
      <c r="I400" s="34">
        <v>37</v>
      </c>
      <c r="J400" s="104" t="str">
        <f>HYPERLINK("https://www.examplebusiness.com/","https://www.examplebusiness.com/")</f>
        <v>https://www.examplebusiness.com/</v>
      </c>
      <c r="K400" s="34" t="s">
        <v>1643</v>
      </c>
      <c r="L400" s="34" t="s">
        <v>1643</v>
      </c>
      <c r="M400" s="34"/>
      <c r="N400" s="34"/>
      <c r="O400" s="34"/>
      <c r="P400" s="102"/>
      <c r="Q400" s="34"/>
      <c r="R400" s="102"/>
    </row>
    <row r="401" spans="1:18" ht="16.5" x14ac:dyDescent="0.35">
      <c r="A401" s="34" t="s">
        <v>1986</v>
      </c>
      <c r="B401" s="34" t="s">
        <v>1986</v>
      </c>
      <c r="C401" s="20" t="s">
        <v>2541</v>
      </c>
      <c r="D401" s="34">
        <v>2</v>
      </c>
      <c r="E401" s="34">
        <v>15</v>
      </c>
      <c r="F401" s="254">
        <v>0</v>
      </c>
      <c r="G401" s="174" t="s">
        <v>570</v>
      </c>
      <c r="H401" s="34" t="s">
        <v>1643</v>
      </c>
      <c r="I401" s="34">
        <v>49</v>
      </c>
      <c r="J401" s="104" t="str">
        <f>HYPERLINK("https://www.examplebusiness.com/","https://www.examplebusiness.com/")</f>
        <v>https://www.examplebusiness.com/</v>
      </c>
      <c r="K401" s="34" t="s">
        <v>1643</v>
      </c>
      <c r="L401" s="34" t="s">
        <v>1643</v>
      </c>
      <c r="M401" s="34"/>
      <c r="N401" s="34"/>
      <c r="O401" s="34"/>
      <c r="P401" s="102"/>
      <c r="Q401" s="34"/>
      <c r="R401" s="102"/>
    </row>
    <row r="402" spans="1:18" ht="16.5" x14ac:dyDescent="0.35">
      <c r="A402" s="34" t="s">
        <v>1986</v>
      </c>
      <c r="B402" s="34" t="s">
        <v>1986</v>
      </c>
      <c r="C402" s="20" t="s">
        <v>457</v>
      </c>
      <c r="D402" s="34">
        <v>12</v>
      </c>
      <c r="E402" s="34">
        <v>15</v>
      </c>
      <c r="F402" s="254">
        <v>0</v>
      </c>
      <c r="G402" s="174" t="s">
        <v>630</v>
      </c>
      <c r="H402" s="34" t="s">
        <v>1643</v>
      </c>
      <c r="I402" s="34">
        <v>61</v>
      </c>
      <c r="J402" s="104" t="str">
        <f>HYPERLINK("https://www.examplebusiness.com/team/mike-rogers-1","https://www.examplebusiness.com/team/mike-rogers-1")</f>
        <v>https://www.examplebusiness.com/team/mike-rogers-1</v>
      </c>
      <c r="K402" s="34" t="s">
        <v>1643</v>
      </c>
      <c r="L402" s="34" t="s">
        <v>1643</v>
      </c>
      <c r="M402" s="34"/>
      <c r="N402" s="34"/>
      <c r="O402" s="34"/>
      <c r="P402" s="102"/>
      <c r="Q402" s="34"/>
      <c r="R402" s="102"/>
    </row>
    <row r="403" spans="1:18" ht="16.5" x14ac:dyDescent="0.35">
      <c r="A403" s="34" t="s">
        <v>1986</v>
      </c>
      <c r="B403" s="34" t="s">
        <v>1986</v>
      </c>
      <c r="C403" s="20" t="s">
        <v>458</v>
      </c>
      <c r="D403" s="34">
        <v>58</v>
      </c>
      <c r="E403" s="34">
        <v>15</v>
      </c>
      <c r="F403" s="254">
        <v>0</v>
      </c>
      <c r="G403" s="174" t="s">
        <v>594</v>
      </c>
      <c r="H403" s="34" t="s">
        <v>1643</v>
      </c>
      <c r="I403" s="34">
        <v>65</v>
      </c>
      <c r="J403" s="104" t="str">
        <f>HYPERLINK("https://www.examplebusiness.com/team/mike-rogers-1","https://www.examplebusiness.com/team/mike-rogers-1")</f>
        <v>https://www.examplebusiness.com/team/mike-rogers-1</v>
      </c>
      <c r="K403" s="34" t="s">
        <v>1643</v>
      </c>
      <c r="L403" s="34" t="s">
        <v>1643</v>
      </c>
      <c r="M403" s="34"/>
      <c r="N403" s="34"/>
      <c r="O403" s="34"/>
      <c r="P403" s="102"/>
      <c r="Q403" s="34"/>
      <c r="R403" s="102"/>
    </row>
    <row r="404" spans="1:18" ht="16.5" x14ac:dyDescent="0.35">
      <c r="A404" s="34" t="s">
        <v>1986</v>
      </c>
      <c r="B404" s="34" t="s">
        <v>1986</v>
      </c>
      <c r="C404" s="20" t="s">
        <v>459</v>
      </c>
      <c r="D404" s="34">
        <v>55</v>
      </c>
      <c r="E404" s="34">
        <v>15</v>
      </c>
      <c r="F404" s="254">
        <v>0</v>
      </c>
      <c r="G404" s="174" t="s">
        <v>640</v>
      </c>
      <c r="H404" s="34" t="s">
        <v>1643</v>
      </c>
      <c r="I404" s="34">
        <v>65</v>
      </c>
      <c r="J404" s="104" t="str">
        <f>HYPERLINK("https://www.examplebusiness.com/resource-center/investment/what-is-the-dividend-yield","https://www.examplebusiness.com/resource-center/investment/what-is-the-dividend-yield")</f>
        <v>https://www.examplebusiness.com/resource-center/investment/what-is-the-dividend-yield</v>
      </c>
      <c r="K404" s="34" t="s">
        <v>1643</v>
      </c>
      <c r="L404" s="34" t="s">
        <v>1643</v>
      </c>
      <c r="M404" s="34"/>
      <c r="N404" s="34"/>
      <c r="O404" s="34"/>
      <c r="P404" s="102"/>
      <c r="Q404" s="34"/>
      <c r="R404" s="102"/>
    </row>
    <row r="405" spans="1:18" ht="16.5" x14ac:dyDescent="0.35">
      <c r="A405" s="34" t="s">
        <v>1986</v>
      </c>
      <c r="B405" s="34" t="s">
        <v>1986</v>
      </c>
      <c r="C405" s="20" t="s">
        <v>460</v>
      </c>
      <c r="D405" s="34">
        <v>12</v>
      </c>
      <c r="E405" s="34">
        <v>15</v>
      </c>
      <c r="F405" s="254">
        <v>0</v>
      </c>
      <c r="G405" s="174" t="s">
        <v>582</v>
      </c>
      <c r="H405" s="34" t="s">
        <v>1643</v>
      </c>
      <c r="I405" s="34">
        <v>68</v>
      </c>
      <c r="J405" s="104" t="str">
        <f>HYPERLINK("https://www.examplebusiness.com/resource-center/tax/tax-rules-when-selling-your-home","https://www.examplebusiness.com/resource-center/tax/tax-rules-when-selling-your-home")</f>
        <v>https://www.examplebusiness.com/resource-center/tax/tax-rules-when-selling-your-home</v>
      </c>
      <c r="K405" s="34" t="s">
        <v>1643</v>
      </c>
      <c r="L405" s="34" t="s">
        <v>1643</v>
      </c>
      <c r="M405" s="34"/>
      <c r="N405" s="34"/>
      <c r="O405" s="34"/>
      <c r="P405" s="102"/>
      <c r="Q405" s="34"/>
      <c r="R405" s="102"/>
    </row>
    <row r="406" spans="1:18" ht="16.5" x14ac:dyDescent="0.35">
      <c r="A406" s="34" t="s">
        <v>1986</v>
      </c>
      <c r="B406" s="34" t="s">
        <v>1986</v>
      </c>
      <c r="C406" s="20" t="s">
        <v>461</v>
      </c>
      <c r="D406" s="34">
        <v>61</v>
      </c>
      <c r="E406" s="34">
        <v>15</v>
      </c>
      <c r="F406" s="254">
        <v>0</v>
      </c>
      <c r="G406" s="174" t="s">
        <v>582</v>
      </c>
      <c r="H406" s="34" t="s">
        <v>1643</v>
      </c>
      <c r="I406" s="34">
        <v>69</v>
      </c>
      <c r="J406" s="104" t="str">
        <f>HYPERLINK("http://www.examplebusiness.com/resource-center/lifestyle/tips-to-prevent-marital-rift","http://www.examplebusiness.com/resource-center/lifestyle/tips-to-prevent-marital-rift")</f>
        <v>http://www.examplebusiness.com/resource-center/lifestyle/tips-to-prevent-marital-rift</v>
      </c>
      <c r="K406" s="34" t="s">
        <v>1643</v>
      </c>
      <c r="L406" s="34" t="s">
        <v>1643</v>
      </c>
      <c r="M406" s="34"/>
      <c r="N406" s="34"/>
      <c r="O406" s="34"/>
      <c r="P406" s="102"/>
      <c r="Q406" s="34"/>
      <c r="R406" s="102"/>
    </row>
    <row r="407" spans="1:18" ht="16.5" x14ac:dyDescent="0.35">
      <c r="A407" s="34" t="s">
        <v>1986</v>
      </c>
      <c r="B407" s="34" t="s">
        <v>1986</v>
      </c>
      <c r="C407" s="20" t="s">
        <v>462</v>
      </c>
      <c r="D407" s="34">
        <v>0</v>
      </c>
      <c r="E407" s="34">
        <v>15</v>
      </c>
      <c r="F407" s="254">
        <v>0</v>
      </c>
      <c r="G407" s="174" t="s">
        <v>591</v>
      </c>
      <c r="H407" s="34" t="s">
        <v>1643</v>
      </c>
      <c r="I407" s="34">
        <v>70</v>
      </c>
      <c r="J407" s="104" t="str">
        <f>HYPERLINK("https://www.examplebusiness.com/team/robert-withers-1","https://www.examplebusiness.com/team/robert-withers-1")</f>
        <v>https://www.examplebusiness.com/team/robert-withers-1</v>
      </c>
      <c r="K407" s="34" t="s">
        <v>1643</v>
      </c>
      <c r="L407" s="34" t="s">
        <v>1643</v>
      </c>
      <c r="M407" s="34"/>
      <c r="N407" s="34"/>
      <c r="O407" s="34"/>
      <c r="P407" s="102"/>
      <c r="Q407" s="34"/>
      <c r="R407" s="102"/>
    </row>
    <row r="408" spans="1:18" ht="16.5" x14ac:dyDescent="0.35">
      <c r="A408" s="34" t="s">
        <v>1986</v>
      </c>
      <c r="B408" s="34" t="s">
        <v>1986</v>
      </c>
      <c r="C408" s="20" t="s">
        <v>2496</v>
      </c>
      <c r="D408" s="34">
        <v>2</v>
      </c>
      <c r="E408" s="34">
        <v>15</v>
      </c>
      <c r="F408" s="254">
        <v>0</v>
      </c>
      <c r="G408" s="174" t="s">
        <v>591</v>
      </c>
      <c r="H408" s="34" t="s">
        <v>1643</v>
      </c>
      <c r="I408" s="34">
        <v>73</v>
      </c>
      <c r="J408" s="104" t="str">
        <f>HYPERLINK("https://www.examplebusiness.com/","https://www.examplebusiness.com/")</f>
        <v>https://www.examplebusiness.com/</v>
      </c>
      <c r="K408" s="34" t="s">
        <v>1643</v>
      </c>
      <c r="L408" s="34" t="s">
        <v>1643</v>
      </c>
      <c r="M408" s="34"/>
      <c r="N408" s="34"/>
      <c r="O408" s="34"/>
      <c r="P408" s="102"/>
      <c r="Q408" s="34"/>
      <c r="R408" s="102"/>
    </row>
    <row r="409" spans="1:18" ht="16.5" x14ac:dyDescent="0.35">
      <c r="A409" s="34" t="s">
        <v>1986</v>
      </c>
      <c r="B409" s="34" t="s">
        <v>1986</v>
      </c>
      <c r="C409" s="20" t="s">
        <v>464</v>
      </c>
      <c r="D409" s="34">
        <v>0</v>
      </c>
      <c r="E409" s="34">
        <v>15</v>
      </c>
      <c r="F409" s="254">
        <v>0</v>
      </c>
      <c r="G409" s="174" t="s">
        <v>601</v>
      </c>
      <c r="H409" s="34" t="s">
        <v>1643</v>
      </c>
      <c r="I409" s="34">
        <v>76</v>
      </c>
      <c r="J409" s="104" t="str">
        <f>HYPERLINK("https://www.examplebusiness.com/team/dan-mohoney-1","https://www.examplebusiness.com/team/dan-mohoney-1")</f>
        <v>https://www.examplebusiness.com/team/dan-mohoney-1</v>
      </c>
      <c r="K409" s="34" t="s">
        <v>1643</v>
      </c>
      <c r="L409" s="34" t="s">
        <v>1643</v>
      </c>
      <c r="M409" s="34"/>
      <c r="N409" s="34"/>
      <c r="O409" s="34"/>
      <c r="P409" s="102"/>
      <c r="Q409" s="34"/>
      <c r="R409" s="102"/>
    </row>
    <row r="410" spans="1:18" ht="16.5" x14ac:dyDescent="0.35">
      <c r="A410" s="34" t="s">
        <v>1986</v>
      </c>
      <c r="B410" s="34" t="s">
        <v>1986</v>
      </c>
      <c r="C410" s="20" t="s">
        <v>2565</v>
      </c>
      <c r="D410" s="34">
        <v>7</v>
      </c>
      <c r="E410" s="34">
        <v>15</v>
      </c>
      <c r="F410" s="254">
        <v>0</v>
      </c>
      <c r="G410" s="174"/>
      <c r="H410" s="34" t="s">
        <v>1643</v>
      </c>
      <c r="I410" s="34">
        <v>78</v>
      </c>
      <c r="J410" s="104" t="str">
        <f>HYPERLINK("https://www.examplebusiness.com/team/nick-andresen-1","https://www.examplebusiness.com/team/nick-andresen-1")</f>
        <v>https://www.examplebusiness.com/team/nick-andresen-1</v>
      </c>
      <c r="K410" s="34" t="s">
        <v>1643</v>
      </c>
      <c r="L410" s="34" t="s">
        <v>1643</v>
      </c>
      <c r="M410" s="34"/>
      <c r="N410" s="34"/>
      <c r="O410" s="34"/>
      <c r="P410" s="102"/>
      <c r="Q410" s="34"/>
      <c r="R410" s="102"/>
    </row>
    <row r="411" spans="1:18" ht="16.5" x14ac:dyDescent="0.35">
      <c r="A411" s="34" t="s">
        <v>1986</v>
      </c>
      <c r="B411" s="34" t="s">
        <v>1987</v>
      </c>
      <c r="C411" s="20" t="s">
        <v>466</v>
      </c>
      <c r="D411" s="34">
        <v>46</v>
      </c>
      <c r="E411" s="34">
        <v>15</v>
      </c>
      <c r="F411" s="254">
        <v>11.95</v>
      </c>
      <c r="G411" s="174" t="s">
        <v>582</v>
      </c>
      <c r="H411" s="34" t="s">
        <v>1643</v>
      </c>
      <c r="I411" s="34">
        <v>77</v>
      </c>
      <c r="J411" s="104" t="str">
        <f>HYPERLINK("https://www.examplebusiness.com/blog/socially-responsible-investing","https://www.examplebusiness.com/blog/socially-responsible-investing")</f>
        <v>https://www.examplebusiness.com/blog/socially-responsible-investing</v>
      </c>
      <c r="K411" s="34" t="s">
        <v>1643</v>
      </c>
      <c r="L411" s="34" t="s">
        <v>1643</v>
      </c>
      <c r="M411" s="34"/>
      <c r="N411" s="34"/>
      <c r="O411" s="34"/>
      <c r="P411" s="102"/>
      <c r="Q411" s="34"/>
      <c r="R411" s="102"/>
    </row>
    <row r="412" spans="1:18" ht="16.5" x14ac:dyDescent="0.35">
      <c r="A412" s="34" t="s">
        <v>1986</v>
      </c>
      <c r="B412" s="34" t="s">
        <v>1986</v>
      </c>
      <c r="C412" s="20" t="s">
        <v>467</v>
      </c>
      <c r="D412" s="34">
        <v>13</v>
      </c>
      <c r="E412" s="34">
        <v>15</v>
      </c>
      <c r="F412" s="254">
        <v>0</v>
      </c>
      <c r="G412" s="174" t="s">
        <v>601</v>
      </c>
      <c r="H412" s="34" t="s">
        <v>1643</v>
      </c>
      <c r="I412" s="34">
        <v>81</v>
      </c>
      <c r="J412" s="104" t="str">
        <f>HYPERLINK("https://www.examplebusiness.com/blog/abc-Example-acquires-true-north-capital-alliance","https://www.examplebusiness.com/blog/abc-Example-acquires-true-north-capital-alliance")</f>
        <v>https://www.examplebusiness.com/blog/abc-Example-acquires-true-north-capital-alliance</v>
      </c>
      <c r="K412" s="34" t="s">
        <v>1643</v>
      </c>
      <c r="L412" s="34" t="s">
        <v>1643</v>
      </c>
      <c r="M412" s="34"/>
      <c r="N412" s="34"/>
      <c r="O412" s="34"/>
      <c r="P412" s="102"/>
      <c r="Q412" s="34"/>
      <c r="R412" s="102"/>
    </row>
    <row r="413" spans="1:18" ht="16.5" x14ac:dyDescent="0.35">
      <c r="A413" s="34" t="s">
        <v>1986</v>
      </c>
      <c r="B413" s="34" t="s">
        <v>1986</v>
      </c>
      <c r="C413" s="20" t="s">
        <v>2497</v>
      </c>
      <c r="D413" s="34">
        <v>16</v>
      </c>
      <c r="E413" s="34">
        <v>15</v>
      </c>
      <c r="F413" s="254">
        <v>0</v>
      </c>
      <c r="G413" s="174" t="s">
        <v>625</v>
      </c>
      <c r="H413" s="34" t="s">
        <v>1643</v>
      </c>
      <c r="I413" s="34">
        <v>94</v>
      </c>
      <c r="J413" s="104" t="str">
        <f>HYPERLINK("https://www.examplebusiness.com/","https://www.examplebusiness.com/")</f>
        <v>https://www.examplebusiness.com/</v>
      </c>
      <c r="K413" s="34" t="s">
        <v>1643</v>
      </c>
      <c r="L413" s="34" t="s">
        <v>1643</v>
      </c>
      <c r="M413" s="34"/>
      <c r="N413" s="34"/>
      <c r="O413" s="34"/>
      <c r="P413" s="102"/>
      <c r="Q413" s="34"/>
      <c r="R413" s="102"/>
    </row>
    <row r="414" spans="1:18" ht="16.5" x14ac:dyDescent="0.35">
      <c r="A414" s="34" t="s">
        <v>1986</v>
      </c>
      <c r="B414" s="34" t="s">
        <v>1986</v>
      </c>
      <c r="C414" s="20" t="s">
        <v>469</v>
      </c>
      <c r="D414" s="34">
        <v>62</v>
      </c>
      <c r="E414" s="34">
        <v>15</v>
      </c>
      <c r="F414" s="254">
        <v>0</v>
      </c>
      <c r="G414" s="174" t="s">
        <v>573</v>
      </c>
      <c r="H414" s="34" t="s">
        <v>1643</v>
      </c>
      <c r="I414" s="34">
        <v>93</v>
      </c>
      <c r="J414" s="104" t="str">
        <f>HYPERLINK("https://www.examplebusiness.com/resource-center/money/life-and-death-of-a-20-dollar-bill","https://www.examplebusiness.com/resource-center/money/life-and-death-of-a-20-dollar-bill")</f>
        <v>https://www.examplebusiness.com/resource-center/money/life-and-death-of-a-20-dollar-bill</v>
      </c>
      <c r="K414" s="34" t="s">
        <v>1643</v>
      </c>
      <c r="L414" s="34" t="s">
        <v>1643</v>
      </c>
      <c r="M414" s="34"/>
      <c r="N414" s="34"/>
      <c r="O414" s="34"/>
      <c r="P414" s="102"/>
      <c r="Q414" s="34"/>
      <c r="R414" s="102"/>
    </row>
    <row r="415" spans="1:18" ht="16.5" x14ac:dyDescent="0.35">
      <c r="A415" s="34" t="s">
        <v>1986</v>
      </c>
      <c r="B415" s="34" t="s">
        <v>1986</v>
      </c>
      <c r="C415" s="20" t="s">
        <v>2546</v>
      </c>
      <c r="D415" s="34">
        <v>12</v>
      </c>
      <c r="E415" s="34">
        <v>15</v>
      </c>
      <c r="F415" s="254">
        <v>0</v>
      </c>
      <c r="G415" s="174" t="s">
        <v>608</v>
      </c>
      <c r="H415" s="34" t="s">
        <v>1643</v>
      </c>
      <c r="I415" s="34">
        <v>92</v>
      </c>
      <c r="J415" s="104" t="str">
        <f>HYPERLINK("https://www.examplebusiness.com/","https://www.examplebusiness.com/")</f>
        <v>https://www.examplebusiness.com/</v>
      </c>
      <c r="K415" s="34" t="s">
        <v>1643</v>
      </c>
      <c r="L415" s="34" t="s">
        <v>1643</v>
      </c>
      <c r="M415" s="34"/>
      <c r="N415" s="34"/>
      <c r="O415" s="34"/>
      <c r="P415" s="102"/>
      <c r="Q415" s="34"/>
      <c r="R415" s="102"/>
    </row>
    <row r="416" spans="1:18" ht="16.5" x14ac:dyDescent="0.35">
      <c r="A416" s="34" t="s">
        <v>1986</v>
      </c>
      <c r="B416" s="34" t="s">
        <v>1986</v>
      </c>
      <c r="C416" s="20" t="s">
        <v>471</v>
      </c>
      <c r="D416" s="34">
        <v>0</v>
      </c>
      <c r="E416" s="34">
        <v>15</v>
      </c>
      <c r="F416" s="254">
        <v>0</v>
      </c>
      <c r="G416" s="174" t="s">
        <v>604</v>
      </c>
      <c r="H416" s="34" t="s">
        <v>1643</v>
      </c>
      <c r="I416" s="34">
        <v>100</v>
      </c>
      <c r="J416" s="104" t="str">
        <f>HYPERLINK("https://www.examplebusiness.com/","https://www.examplebusiness.com/")</f>
        <v>https://www.examplebusiness.com/</v>
      </c>
      <c r="K416" s="34" t="s">
        <v>1643</v>
      </c>
      <c r="L416" s="34" t="s">
        <v>1643</v>
      </c>
      <c r="M416" s="34"/>
      <c r="N416" s="34"/>
      <c r="O416" s="34"/>
      <c r="P416" s="102"/>
      <c r="Q416" s="34"/>
      <c r="R416" s="102"/>
    </row>
    <row r="417" spans="1:18" ht="16.5" x14ac:dyDescent="0.35">
      <c r="A417" s="34" t="s">
        <v>1993</v>
      </c>
      <c r="B417" s="34" t="s">
        <v>1994</v>
      </c>
      <c r="C417" s="20" t="s">
        <v>472</v>
      </c>
      <c r="D417" s="34">
        <v>6</v>
      </c>
      <c r="E417" s="34">
        <v>10</v>
      </c>
      <c r="F417" s="254">
        <v>0</v>
      </c>
      <c r="G417" s="174" t="s">
        <v>2002</v>
      </c>
      <c r="H417" s="34" t="s">
        <v>1992</v>
      </c>
      <c r="I417" s="34" t="s">
        <v>1992</v>
      </c>
      <c r="J417" s="20" t="s">
        <v>1992</v>
      </c>
      <c r="K417" s="34" t="s">
        <v>1992</v>
      </c>
      <c r="L417" s="34" t="s">
        <v>1992</v>
      </c>
      <c r="M417" s="34"/>
      <c r="N417" s="34"/>
      <c r="O417" s="34"/>
      <c r="P417" s="102"/>
      <c r="Q417" s="34"/>
      <c r="R417" s="102"/>
    </row>
    <row r="418" spans="1:18" ht="16.5" x14ac:dyDescent="0.35">
      <c r="A418" s="34" t="s">
        <v>1989</v>
      </c>
      <c r="B418" s="34" t="s">
        <v>1994</v>
      </c>
      <c r="C418" s="20" t="s">
        <v>473</v>
      </c>
      <c r="D418" s="34">
        <v>12</v>
      </c>
      <c r="E418" s="34">
        <v>10</v>
      </c>
      <c r="F418" s="254">
        <v>0</v>
      </c>
      <c r="G418" s="174" t="s">
        <v>2002</v>
      </c>
      <c r="H418" s="34" t="s">
        <v>1992</v>
      </c>
      <c r="I418" s="34" t="s">
        <v>1992</v>
      </c>
      <c r="J418" s="20" t="s">
        <v>1992</v>
      </c>
      <c r="K418" s="34" t="s">
        <v>1992</v>
      </c>
      <c r="L418" s="34" t="s">
        <v>1992</v>
      </c>
      <c r="M418" s="34"/>
      <c r="N418" s="34"/>
      <c r="O418" s="34"/>
      <c r="P418" s="102"/>
      <c r="Q418" s="34"/>
      <c r="R418" s="102"/>
    </row>
    <row r="419" spans="1:18" ht="16.5" x14ac:dyDescent="0.35">
      <c r="A419" s="34" t="s">
        <v>1989</v>
      </c>
      <c r="B419" s="34" t="s">
        <v>1987</v>
      </c>
      <c r="C419" s="20" t="s">
        <v>474</v>
      </c>
      <c r="D419" s="34">
        <v>8</v>
      </c>
      <c r="E419" s="34">
        <v>10</v>
      </c>
      <c r="F419" s="254">
        <v>0.25</v>
      </c>
      <c r="G419" s="174" t="s">
        <v>572</v>
      </c>
      <c r="H419" s="34" t="s">
        <v>1992</v>
      </c>
      <c r="I419" s="34" t="s">
        <v>1992</v>
      </c>
      <c r="J419" s="20" t="s">
        <v>1992</v>
      </c>
      <c r="K419" s="34" t="s">
        <v>1992</v>
      </c>
      <c r="L419" s="34" t="s">
        <v>1992</v>
      </c>
      <c r="M419" s="34"/>
      <c r="N419" s="34"/>
      <c r="O419" s="34"/>
      <c r="P419" s="102"/>
      <c r="Q419" s="34"/>
      <c r="R419" s="102"/>
    </row>
    <row r="420" spans="1:18" ht="16.5" x14ac:dyDescent="0.35">
      <c r="A420" s="34" t="s">
        <v>1989</v>
      </c>
      <c r="B420" s="34" t="s">
        <v>1994</v>
      </c>
      <c r="C420" s="20" t="s">
        <v>475</v>
      </c>
      <c r="D420" s="34"/>
      <c r="E420" s="34">
        <v>10</v>
      </c>
      <c r="F420" s="254">
        <v>0</v>
      </c>
      <c r="G420" s="174"/>
      <c r="H420" s="34" t="s">
        <v>1992</v>
      </c>
      <c r="I420" s="34" t="s">
        <v>1992</v>
      </c>
      <c r="J420" s="20" t="s">
        <v>1992</v>
      </c>
      <c r="K420" s="34" t="s">
        <v>1992</v>
      </c>
      <c r="L420" s="34" t="s">
        <v>1992</v>
      </c>
      <c r="M420" s="34"/>
      <c r="N420" s="34"/>
      <c r="O420" s="34"/>
      <c r="P420" s="102"/>
      <c r="Q420" s="34"/>
      <c r="R420" s="102"/>
    </row>
    <row r="421" spans="1:18" ht="16.5" x14ac:dyDescent="0.35">
      <c r="A421" s="34" t="s">
        <v>1993</v>
      </c>
      <c r="B421" s="34" t="s">
        <v>1987</v>
      </c>
      <c r="C421" s="20" t="s">
        <v>476</v>
      </c>
      <c r="D421" s="34"/>
      <c r="E421" s="34">
        <v>10</v>
      </c>
      <c r="F421" s="254">
        <v>0</v>
      </c>
      <c r="G421" s="174"/>
      <c r="H421" s="34" t="s">
        <v>1992</v>
      </c>
      <c r="I421" s="34" t="s">
        <v>1992</v>
      </c>
      <c r="J421" s="20" t="s">
        <v>1992</v>
      </c>
      <c r="K421" s="34" t="s">
        <v>1992</v>
      </c>
      <c r="L421" s="34" t="s">
        <v>1992</v>
      </c>
      <c r="M421" s="34"/>
      <c r="N421" s="34"/>
      <c r="O421" s="34"/>
      <c r="P421" s="102"/>
      <c r="Q421" s="34"/>
      <c r="R421" s="102"/>
    </row>
    <row r="422" spans="1:18" ht="16.5" x14ac:dyDescent="0.35">
      <c r="A422" s="34" t="s">
        <v>1989</v>
      </c>
      <c r="B422" s="34" t="s">
        <v>1987</v>
      </c>
      <c r="C422" s="20" t="s">
        <v>477</v>
      </c>
      <c r="D422" s="34"/>
      <c r="E422" s="34">
        <v>10</v>
      </c>
      <c r="F422" s="254">
        <v>0</v>
      </c>
      <c r="G422" s="174"/>
      <c r="H422" s="34" t="s">
        <v>1992</v>
      </c>
      <c r="I422" s="34" t="s">
        <v>1992</v>
      </c>
      <c r="J422" s="20" t="s">
        <v>1992</v>
      </c>
      <c r="K422" s="34" t="s">
        <v>1992</v>
      </c>
      <c r="L422" s="34" t="s">
        <v>1992</v>
      </c>
      <c r="M422" s="34"/>
      <c r="N422" s="34"/>
      <c r="O422" s="34"/>
      <c r="P422" s="102"/>
      <c r="Q422" s="34"/>
      <c r="R422" s="102"/>
    </row>
    <row r="423" spans="1:18" ht="16.5" x14ac:dyDescent="0.35">
      <c r="A423" s="34" t="s">
        <v>1989</v>
      </c>
      <c r="B423" s="34" t="s">
        <v>1987</v>
      </c>
      <c r="C423" s="20" t="s">
        <v>478</v>
      </c>
      <c r="D423" s="34"/>
      <c r="E423" s="34">
        <v>10</v>
      </c>
      <c r="F423" s="254">
        <v>1.25</v>
      </c>
      <c r="G423" s="174"/>
      <c r="H423" s="34" t="s">
        <v>1992</v>
      </c>
      <c r="I423" s="34" t="s">
        <v>1992</v>
      </c>
      <c r="J423" s="20" t="s">
        <v>1992</v>
      </c>
      <c r="K423" s="34" t="s">
        <v>1992</v>
      </c>
      <c r="L423" s="34" t="s">
        <v>1992</v>
      </c>
      <c r="M423" s="34"/>
      <c r="N423" s="34"/>
      <c r="O423" s="34"/>
      <c r="P423" s="102"/>
      <c r="Q423" s="34"/>
      <c r="R423" s="102"/>
    </row>
    <row r="424" spans="1:18" ht="16.5" x14ac:dyDescent="0.35">
      <c r="A424" s="34" t="s">
        <v>1989</v>
      </c>
      <c r="B424" s="34" t="s">
        <v>1994</v>
      </c>
      <c r="C424" s="20" t="s">
        <v>479</v>
      </c>
      <c r="D424" s="34"/>
      <c r="E424" s="34">
        <v>10</v>
      </c>
      <c r="F424" s="254">
        <v>0</v>
      </c>
      <c r="G424" s="174"/>
      <c r="H424" s="34" t="s">
        <v>1992</v>
      </c>
      <c r="I424" s="34" t="s">
        <v>1992</v>
      </c>
      <c r="J424" s="20" t="s">
        <v>1992</v>
      </c>
      <c r="K424" s="34" t="s">
        <v>1992</v>
      </c>
      <c r="L424" s="34" t="s">
        <v>1992</v>
      </c>
      <c r="M424" s="34"/>
      <c r="N424" s="34"/>
      <c r="O424" s="34"/>
      <c r="P424" s="102"/>
      <c r="Q424" s="34"/>
      <c r="R424" s="102"/>
    </row>
    <row r="425" spans="1:18" ht="16.5" x14ac:dyDescent="0.35">
      <c r="A425" s="34" t="s">
        <v>1993</v>
      </c>
      <c r="B425" s="34" t="s">
        <v>1987</v>
      </c>
      <c r="C425" s="20" t="s">
        <v>480</v>
      </c>
      <c r="D425" s="34"/>
      <c r="E425" s="34">
        <v>10</v>
      </c>
      <c r="F425" s="254">
        <v>0</v>
      </c>
      <c r="G425" s="174"/>
      <c r="H425" s="34" t="s">
        <v>1992</v>
      </c>
      <c r="I425" s="34" t="s">
        <v>1992</v>
      </c>
      <c r="J425" s="20" t="s">
        <v>1992</v>
      </c>
      <c r="K425" s="34" t="s">
        <v>1992</v>
      </c>
      <c r="L425" s="34" t="s">
        <v>1992</v>
      </c>
      <c r="M425" s="34"/>
      <c r="N425" s="34"/>
      <c r="O425" s="34"/>
      <c r="P425" s="102"/>
      <c r="Q425" s="34"/>
      <c r="R425" s="102"/>
    </row>
    <row r="426" spans="1:18" ht="16.5" x14ac:dyDescent="0.35">
      <c r="A426" s="34" t="s">
        <v>1993</v>
      </c>
      <c r="B426" s="34" t="s">
        <v>2001</v>
      </c>
      <c r="C426" s="20" t="s">
        <v>481</v>
      </c>
      <c r="D426" s="34"/>
      <c r="E426" s="34">
        <v>10</v>
      </c>
      <c r="F426" s="254">
        <v>7.43</v>
      </c>
      <c r="G426" s="174"/>
      <c r="H426" s="34" t="s">
        <v>1992</v>
      </c>
      <c r="I426" s="34" t="s">
        <v>1992</v>
      </c>
      <c r="J426" s="20" t="s">
        <v>1992</v>
      </c>
      <c r="K426" s="34" t="s">
        <v>1992</v>
      </c>
      <c r="L426" s="34" t="s">
        <v>1992</v>
      </c>
      <c r="M426" s="34"/>
      <c r="N426" s="34"/>
      <c r="O426" s="34"/>
      <c r="P426" s="102"/>
      <c r="Q426" s="34"/>
      <c r="R426" s="102"/>
    </row>
    <row r="427" spans="1:18" ht="16.5" x14ac:dyDescent="0.35">
      <c r="A427" s="34" t="s">
        <v>1989</v>
      </c>
      <c r="B427" s="34" t="s">
        <v>1987</v>
      </c>
      <c r="C427" s="20" t="s">
        <v>482</v>
      </c>
      <c r="D427" s="34"/>
      <c r="E427" s="34">
        <v>10</v>
      </c>
      <c r="F427" s="254">
        <v>5.51</v>
      </c>
      <c r="G427" s="174"/>
      <c r="H427" s="34" t="s">
        <v>1992</v>
      </c>
      <c r="I427" s="34" t="s">
        <v>1992</v>
      </c>
      <c r="J427" s="20" t="s">
        <v>1992</v>
      </c>
      <c r="K427" s="34" t="s">
        <v>1992</v>
      </c>
      <c r="L427" s="34" t="s">
        <v>1992</v>
      </c>
      <c r="M427" s="34"/>
      <c r="N427" s="34"/>
      <c r="O427" s="34"/>
      <c r="P427" s="102"/>
      <c r="Q427" s="34"/>
      <c r="R427" s="102"/>
    </row>
    <row r="428" spans="1:18" ht="16.5" x14ac:dyDescent="0.35">
      <c r="A428" s="34" t="s">
        <v>1989</v>
      </c>
      <c r="B428" s="34" t="s">
        <v>1994</v>
      </c>
      <c r="C428" s="20" t="s">
        <v>483</v>
      </c>
      <c r="D428" s="34"/>
      <c r="E428" s="34">
        <v>10</v>
      </c>
      <c r="F428" s="254">
        <v>0</v>
      </c>
      <c r="G428" s="174"/>
      <c r="H428" s="34" t="s">
        <v>1992</v>
      </c>
      <c r="I428" s="34" t="s">
        <v>1992</v>
      </c>
      <c r="J428" s="20" t="s">
        <v>1992</v>
      </c>
      <c r="K428" s="34" t="s">
        <v>1992</v>
      </c>
      <c r="L428" s="34" t="s">
        <v>1992</v>
      </c>
      <c r="M428" s="34"/>
      <c r="N428" s="34"/>
      <c r="O428" s="34"/>
      <c r="P428" s="102"/>
      <c r="Q428" s="34"/>
      <c r="R428" s="102"/>
    </row>
    <row r="429" spans="1:18" ht="16.5" x14ac:dyDescent="0.35">
      <c r="A429" s="34" t="s">
        <v>1989</v>
      </c>
      <c r="B429" s="34" t="s">
        <v>1994</v>
      </c>
      <c r="C429" s="20" t="s">
        <v>484</v>
      </c>
      <c r="D429" s="34"/>
      <c r="E429" s="34">
        <v>10</v>
      </c>
      <c r="F429" s="254">
        <v>0</v>
      </c>
      <c r="G429" s="174"/>
      <c r="H429" s="34" t="s">
        <v>1992</v>
      </c>
      <c r="I429" s="34" t="s">
        <v>1992</v>
      </c>
      <c r="J429" s="20" t="s">
        <v>1992</v>
      </c>
      <c r="K429" s="34" t="s">
        <v>1992</v>
      </c>
      <c r="L429" s="34" t="s">
        <v>1992</v>
      </c>
      <c r="M429" s="34"/>
      <c r="N429" s="34"/>
      <c r="O429" s="34"/>
      <c r="P429" s="102"/>
      <c r="Q429" s="34"/>
      <c r="R429" s="102"/>
    </row>
    <row r="430" spans="1:18" ht="16.5" x14ac:dyDescent="0.35">
      <c r="A430" s="34" t="s">
        <v>1989</v>
      </c>
      <c r="B430" s="34" t="s">
        <v>1990</v>
      </c>
      <c r="C430" s="20" t="s">
        <v>485</v>
      </c>
      <c r="D430" s="34"/>
      <c r="E430" s="34">
        <v>10</v>
      </c>
      <c r="F430" s="254">
        <v>0</v>
      </c>
      <c r="G430" s="174"/>
      <c r="H430" s="34" t="s">
        <v>1992</v>
      </c>
      <c r="I430" s="34" t="s">
        <v>1992</v>
      </c>
      <c r="J430" s="20" t="s">
        <v>1992</v>
      </c>
      <c r="K430" s="34" t="s">
        <v>1992</v>
      </c>
      <c r="L430" s="34" t="s">
        <v>1992</v>
      </c>
      <c r="M430" s="34"/>
      <c r="N430" s="34"/>
      <c r="O430" s="34"/>
      <c r="P430" s="102"/>
      <c r="Q430" s="34"/>
      <c r="R430" s="102"/>
    </row>
    <row r="431" spans="1:18" ht="16.5" x14ac:dyDescent="0.35">
      <c r="A431" s="34" t="s">
        <v>1989</v>
      </c>
      <c r="B431" s="34" t="s">
        <v>1994</v>
      </c>
      <c r="C431" s="20" t="s">
        <v>486</v>
      </c>
      <c r="D431" s="34"/>
      <c r="E431" s="34">
        <v>10</v>
      </c>
      <c r="F431" s="254">
        <v>26.58</v>
      </c>
      <c r="G431" s="174"/>
      <c r="H431" s="34" t="s">
        <v>1992</v>
      </c>
      <c r="I431" s="34" t="s">
        <v>1992</v>
      </c>
      <c r="J431" s="20" t="s">
        <v>1992</v>
      </c>
      <c r="K431" s="34" t="s">
        <v>1992</v>
      </c>
      <c r="L431" s="34" t="s">
        <v>1992</v>
      </c>
      <c r="M431" s="34"/>
      <c r="N431" s="34"/>
      <c r="O431" s="34"/>
      <c r="P431" s="102"/>
      <c r="Q431" s="34"/>
      <c r="R431" s="102"/>
    </row>
    <row r="432" spans="1:18" ht="16.5" x14ac:dyDescent="0.35">
      <c r="A432" s="34" t="s">
        <v>1989</v>
      </c>
      <c r="B432" s="34" t="s">
        <v>1994</v>
      </c>
      <c r="C432" s="20" t="s">
        <v>487</v>
      </c>
      <c r="D432" s="34"/>
      <c r="E432" s="34">
        <v>10</v>
      </c>
      <c r="F432" s="254">
        <v>25</v>
      </c>
      <c r="G432" s="174"/>
      <c r="H432" s="34" t="s">
        <v>1992</v>
      </c>
      <c r="I432" s="34" t="s">
        <v>1992</v>
      </c>
      <c r="J432" s="20" t="s">
        <v>1992</v>
      </c>
      <c r="K432" s="34" t="s">
        <v>1992</v>
      </c>
      <c r="L432" s="34" t="s">
        <v>1992</v>
      </c>
      <c r="M432" s="34"/>
      <c r="N432" s="34"/>
      <c r="O432" s="34"/>
      <c r="P432" s="102"/>
      <c r="Q432" s="34"/>
      <c r="R432" s="102"/>
    </row>
    <row r="433" spans="1:18" ht="16.5" x14ac:dyDescent="0.35">
      <c r="A433" s="34" t="s">
        <v>1989</v>
      </c>
      <c r="B433" s="34" t="s">
        <v>1994</v>
      </c>
      <c r="C433" s="20" t="s">
        <v>488</v>
      </c>
      <c r="D433" s="34"/>
      <c r="E433" s="34">
        <v>10</v>
      </c>
      <c r="F433" s="254">
        <v>21.09</v>
      </c>
      <c r="G433" s="174"/>
      <c r="H433" s="34" t="s">
        <v>1992</v>
      </c>
      <c r="I433" s="34" t="s">
        <v>1992</v>
      </c>
      <c r="J433" s="20" t="s">
        <v>1992</v>
      </c>
      <c r="K433" s="34" t="s">
        <v>1992</v>
      </c>
      <c r="L433" s="34" t="s">
        <v>1992</v>
      </c>
      <c r="M433" s="34"/>
      <c r="N433" s="34"/>
      <c r="O433" s="34"/>
      <c r="P433" s="102"/>
      <c r="Q433" s="34"/>
      <c r="R433" s="102"/>
    </row>
    <row r="434" spans="1:18" ht="16.5" x14ac:dyDescent="0.35">
      <c r="A434" s="34" t="s">
        <v>1993</v>
      </c>
      <c r="B434" s="34" t="s">
        <v>1994</v>
      </c>
      <c r="C434" s="20" t="s">
        <v>489</v>
      </c>
      <c r="D434" s="34"/>
      <c r="E434" s="34">
        <v>10</v>
      </c>
      <c r="F434" s="254">
        <v>0</v>
      </c>
      <c r="G434" s="174"/>
      <c r="H434" s="34" t="s">
        <v>1992</v>
      </c>
      <c r="I434" s="34" t="s">
        <v>1992</v>
      </c>
      <c r="J434" s="20" t="s">
        <v>1992</v>
      </c>
      <c r="K434" s="34" t="s">
        <v>1992</v>
      </c>
      <c r="L434" s="34" t="s">
        <v>1992</v>
      </c>
      <c r="M434" s="34"/>
      <c r="N434" s="34"/>
      <c r="O434" s="34"/>
      <c r="P434" s="102"/>
      <c r="Q434" s="34"/>
      <c r="R434" s="102"/>
    </row>
    <row r="435" spans="1:18" ht="16.5" x14ac:dyDescent="0.35">
      <c r="A435" s="34" t="s">
        <v>1989</v>
      </c>
      <c r="B435" s="34" t="s">
        <v>2001</v>
      </c>
      <c r="C435" s="20" t="s">
        <v>490</v>
      </c>
      <c r="D435" s="34"/>
      <c r="E435" s="34">
        <v>10</v>
      </c>
      <c r="F435" s="254">
        <v>0</v>
      </c>
      <c r="G435" s="174"/>
      <c r="H435" s="34" t="s">
        <v>1992</v>
      </c>
      <c r="I435" s="34" t="s">
        <v>1992</v>
      </c>
      <c r="J435" s="20" t="s">
        <v>1992</v>
      </c>
      <c r="K435" s="34" t="s">
        <v>1992</v>
      </c>
      <c r="L435" s="34" t="s">
        <v>1992</v>
      </c>
      <c r="M435" s="34"/>
      <c r="N435" s="34"/>
      <c r="O435" s="34"/>
      <c r="P435" s="102"/>
      <c r="Q435" s="34"/>
      <c r="R435" s="102"/>
    </row>
    <row r="436" spans="1:18" ht="16.5" x14ac:dyDescent="0.35">
      <c r="A436" s="34" t="s">
        <v>1989</v>
      </c>
      <c r="B436" s="34" t="s">
        <v>1987</v>
      </c>
      <c r="C436" s="20" t="s">
        <v>491</v>
      </c>
      <c r="D436" s="34"/>
      <c r="E436" s="34">
        <v>10</v>
      </c>
      <c r="F436" s="254">
        <v>0</v>
      </c>
      <c r="G436" s="174"/>
      <c r="H436" s="34" t="s">
        <v>1992</v>
      </c>
      <c r="I436" s="34" t="s">
        <v>1992</v>
      </c>
      <c r="J436" s="20" t="s">
        <v>1992</v>
      </c>
      <c r="K436" s="34" t="s">
        <v>1992</v>
      </c>
      <c r="L436" s="34" t="s">
        <v>1992</v>
      </c>
      <c r="M436" s="34"/>
      <c r="N436" s="34"/>
      <c r="O436" s="34"/>
      <c r="P436" s="102"/>
      <c r="Q436" s="34"/>
      <c r="R436" s="102"/>
    </row>
    <row r="437" spans="1:18" ht="16.5" x14ac:dyDescent="0.35">
      <c r="A437" s="34" t="s">
        <v>1989</v>
      </c>
      <c r="B437" s="34" t="s">
        <v>1987</v>
      </c>
      <c r="C437" s="20" t="s">
        <v>492</v>
      </c>
      <c r="D437" s="34">
        <v>2</v>
      </c>
      <c r="E437" s="34">
        <v>10</v>
      </c>
      <c r="F437" s="254">
        <v>5.89</v>
      </c>
      <c r="G437" s="174" t="s">
        <v>572</v>
      </c>
      <c r="H437" s="34" t="s">
        <v>1992</v>
      </c>
      <c r="I437" s="34" t="s">
        <v>1992</v>
      </c>
      <c r="J437" s="20" t="s">
        <v>1992</v>
      </c>
      <c r="K437" s="34" t="s">
        <v>1992</v>
      </c>
      <c r="L437" s="34" t="s">
        <v>1992</v>
      </c>
      <c r="M437" s="34"/>
      <c r="N437" s="34"/>
      <c r="O437" s="34"/>
      <c r="P437" s="102"/>
      <c r="Q437" s="34"/>
      <c r="R437" s="102"/>
    </row>
    <row r="438" spans="1:18" ht="16.5" x14ac:dyDescent="0.35">
      <c r="A438" s="34" t="s">
        <v>1989</v>
      </c>
      <c r="B438" s="34" t="s">
        <v>1994</v>
      </c>
      <c r="C438" s="20" t="s">
        <v>493</v>
      </c>
      <c r="D438" s="34"/>
      <c r="E438" s="34">
        <v>10</v>
      </c>
      <c r="F438" s="254">
        <v>10</v>
      </c>
      <c r="G438" s="174"/>
      <c r="H438" s="34" t="s">
        <v>1992</v>
      </c>
      <c r="I438" s="34" t="s">
        <v>1992</v>
      </c>
      <c r="J438" s="20" t="s">
        <v>1992</v>
      </c>
      <c r="K438" s="34" t="s">
        <v>1992</v>
      </c>
      <c r="L438" s="34" t="s">
        <v>1992</v>
      </c>
      <c r="M438" s="34"/>
      <c r="N438" s="34"/>
      <c r="O438" s="34"/>
      <c r="P438" s="102"/>
      <c r="Q438" s="34"/>
      <c r="R438" s="102"/>
    </row>
    <row r="439" spans="1:18" ht="16.5" x14ac:dyDescent="0.35">
      <c r="A439" s="34" t="s">
        <v>1989</v>
      </c>
      <c r="B439" s="34" t="s">
        <v>1990</v>
      </c>
      <c r="C439" s="20" t="s">
        <v>494</v>
      </c>
      <c r="D439" s="34"/>
      <c r="E439" s="34">
        <v>10</v>
      </c>
      <c r="F439" s="254">
        <v>12.675000000000001</v>
      </c>
      <c r="G439" s="174"/>
      <c r="H439" s="34" t="s">
        <v>1992</v>
      </c>
      <c r="I439" s="34" t="s">
        <v>1992</v>
      </c>
      <c r="J439" s="20" t="s">
        <v>1992</v>
      </c>
      <c r="K439" s="34" t="s">
        <v>1992</v>
      </c>
      <c r="L439" s="34" t="s">
        <v>1992</v>
      </c>
      <c r="M439" s="34"/>
      <c r="N439" s="34"/>
      <c r="O439" s="34"/>
      <c r="P439" s="102"/>
      <c r="Q439" s="34"/>
      <c r="R439" s="102"/>
    </row>
    <row r="440" spans="1:18" ht="16.5" x14ac:dyDescent="0.35">
      <c r="A440" s="34" t="s">
        <v>1989</v>
      </c>
      <c r="B440" s="34" t="s">
        <v>1990</v>
      </c>
      <c r="C440" s="20" t="s">
        <v>495</v>
      </c>
      <c r="D440" s="34"/>
      <c r="E440" s="34">
        <v>10</v>
      </c>
      <c r="F440" s="254">
        <v>3.5</v>
      </c>
      <c r="G440" s="174"/>
      <c r="H440" s="34" t="s">
        <v>1992</v>
      </c>
      <c r="I440" s="34" t="s">
        <v>1992</v>
      </c>
      <c r="J440" s="20" t="s">
        <v>1992</v>
      </c>
      <c r="K440" s="34" t="s">
        <v>1992</v>
      </c>
      <c r="L440" s="34" t="s">
        <v>1992</v>
      </c>
      <c r="M440" s="34"/>
      <c r="N440" s="34"/>
      <c r="O440" s="34"/>
      <c r="P440" s="102"/>
      <c r="Q440" s="34"/>
      <c r="R440" s="102"/>
    </row>
    <row r="441" spans="1:18" ht="16.5" x14ac:dyDescent="0.35">
      <c r="A441" s="34" t="s">
        <v>1989</v>
      </c>
      <c r="B441" s="34" t="s">
        <v>1994</v>
      </c>
      <c r="C441" s="20" t="s">
        <v>496</v>
      </c>
      <c r="D441" s="34"/>
      <c r="E441" s="34">
        <v>10</v>
      </c>
      <c r="F441" s="254">
        <v>0</v>
      </c>
      <c r="G441" s="174"/>
      <c r="H441" s="34" t="s">
        <v>1992</v>
      </c>
      <c r="I441" s="34" t="s">
        <v>1992</v>
      </c>
      <c r="J441" s="20" t="s">
        <v>1992</v>
      </c>
      <c r="K441" s="34" t="s">
        <v>1992</v>
      </c>
      <c r="L441" s="34" t="s">
        <v>1992</v>
      </c>
      <c r="M441" s="34"/>
      <c r="N441" s="34"/>
      <c r="O441" s="34"/>
      <c r="P441" s="102"/>
      <c r="Q441" s="34"/>
      <c r="R441" s="102"/>
    </row>
    <row r="442" spans="1:18" ht="16.5" x14ac:dyDescent="0.35">
      <c r="A442" s="34" t="s">
        <v>1993</v>
      </c>
      <c r="B442" s="34" t="s">
        <v>2001</v>
      </c>
      <c r="C442" s="20" t="s">
        <v>497</v>
      </c>
      <c r="D442" s="34"/>
      <c r="E442" s="34">
        <v>10</v>
      </c>
      <c r="F442" s="254">
        <v>0</v>
      </c>
      <c r="G442" s="174"/>
      <c r="H442" s="34" t="s">
        <v>1992</v>
      </c>
      <c r="I442" s="34" t="s">
        <v>1992</v>
      </c>
      <c r="J442" s="20" t="s">
        <v>1992</v>
      </c>
      <c r="K442" s="34" t="s">
        <v>1992</v>
      </c>
      <c r="L442" s="34" t="s">
        <v>1992</v>
      </c>
      <c r="M442" s="34"/>
      <c r="N442" s="34"/>
      <c r="O442" s="34"/>
      <c r="P442" s="102"/>
      <c r="Q442" s="34"/>
      <c r="R442" s="102"/>
    </row>
    <row r="443" spans="1:18" ht="16.5" x14ac:dyDescent="0.35">
      <c r="A443" s="34" t="s">
        <v>1989</v>
      </c>
      <c r="B443" s="34" t="s">
        <v>1994</v>
      </c>
      <c r="C443" s="20" t="s">
        <v>498</v>
      </c>
      <c r="D443" s="34"/>
      <c r="E443" s="34">
        <v>10</v>
      </c>
      <c r="F443" s="254">
        <v>0</v>
      </c>
      <c r="G443" s="174"/>
      <c r="H443" s="34" t="s">
        <v>1992</v>
      </c>
      <c r="I443" s="34" t="s">
        <v>1992</v>
      </c>
      <c r="J443" s="20" t="s">
        <v>1992</v>
      </c>
      <c r="K443" s="34" t="s">
        <v>1992</v>
      </c>
      <c r="L443" s="34" t="s">
        <v>1992</v>
      </c>
      <c r="M443" s="34"/>
      <c r="N443" s="34"/>
      <c r="O443" s="34"/>
      <c r="P443" s="102"/>
      <c r="Q443" s="34"/>
      <c r="R443" s="102"/>
    </row>
    <row r="444" spans="1:18" ht="16.5" x14ac:dyDescent="0.35">
      <c r="A444" s="34" t="s">
        <v>1989</v>
      </c>
      <c r="B444" s="34" t="s">
        <v>1987</v>
      </c>
      <c r="C444" s="20" t="s">
        <v>499</v>
      </c>
      <c r="D444" s="34"/>
      <c r="E444" s="34">
        <v>10</v>
      </c>
      <c r="F444" s="254">
        <v>0</v>
      </c>
      <c r="G444" s="174"/>
      <c r="H444" s="34" t="s">
        <v>1992</v>
      </c>
      <c r="I444" s="34" t="s">
        <v>1992</v>
      </c>
      <c r="J444" s="20" t="s">
        <v>1992</v>
      </c>
      <c r="K444" s="34" t="s">
        <v>1992</v>
      </c>
      <c r="L444" s="34" t="s">
        <v>1992</v>
      </c>
      <c r="M444" s="34"/>
      <c r="N444" s="34"/>
      <c r="O444" s="34"/>
      <c r="P444" s="102"/>
      <c r="Q444" s="34"/>
      <c r="R444" s="102"/>
    </row>
    <row r="445" spans="1:18" ht="16.5" x14ac:dyDescent="0.35">
      <c r="A445" s="34" t="s">
        <v>1989</v>
      </c>
      <c r="B445" s="34" t="s">
        <v>1990</v>
      </c>
      <c r="C445" s="20" t="s">
        <v>500</v>
      </c>
      <c r="D445" s="34"/>
      <c r="E445" s="34">
        <v>10</v>
      </c>
      <c r="F445" s="254">
        <v>6.48</v>
      </c>
      <c r="G445" s="174"/>
      <c r="H445" s="34" t="s">
        <v>1992</v>
      </c>
      <c r="I445" s="34" t="s">
        <v>1992</v>
      </c>
      <c r="J445" s="20" t="s">
        <v>1992</v>
      </c>
      <c r="K445" s="34" t="s">
        <v>1992</v>
      </c>
      <c r="L445" s="34" t="s">
        <v>1992</v>
      </c>
      <c r="M445" s="34"/>
      <c r="N445" s="34"/>
      <c r="O445" s="34"/>
      <c r="P445" s="102"/>
      <c r="Q445" s="34"/>
      <c r="R445" s="102"/>
    </row>
    <row r="446" spans="1:18" ht="16.5" x14ac:dyDescent="0.35">
      <c r="A446" s="34" t="s">
        <v>1989</v>
      </c>
      <c r="B446" s="34" t="s">
        <v>1994</v>
      </c>
      <c r="C446" s="20" t="s">
        <v>501</v>
      </c>
      <c r="D446" s="34"/>
      <c r="E446" s="34">
        <v>10</v>
      </c>
      <c r="F446" s="254">
        <v>2.5</v>
      </c>
      <c r="G446" s="174"/>
      <c r="H446" s="34" t="s">
        <v>1992</v>
      </c>
      <c r="I446" s="34" t="s">
        <v>1992</v>
      </c>
      <c r="J446" s="20" t="s">
        <v>1992</v>
      </c>
      <c r="K446" s="34" t="s">
        <v>1992</v>
      </c>
      <c r="L446" s="34" t="s">
        <v>1992</v>
      </c>
      <c r="M446" s="34"/>
      <c r="N446" s="34"/>
      <c r="O446" s="34"/>
      <c r="P446" s="102"/>
      <c r="Q446" s="34"/>
      <c r="R446" s="102"/>
    </row>
    <row r="447" spans="1:18" ht="16.5" x14ac:dyDescent="0.35">
      <c r="A447" s="34" t="s">
        <v>1989</v>
      </c>
      <c r="B447" s="34" t="s">
        <v>1990</v>
      </c>
      <c r="C447" s="20" t="s">
        <v>502</v>
      </c>
      <c r="D447" s="34"/>
      <c r="E447" s="34">
        <v>10</v>
      </c>
      <c r="F447" s="254">
        <v>9.5399999999999991</v>
      </c>
      <c r="G447" s="174"/>
      <c r="H447" s="34" t="s">
        <v>1992</v>
      </c>
      <c r="I447" s="34" t="s">
        <v>1992</v>
      </c>
      <c r="J447" s="20" t="s">
        <v>1992</v>
      </c>
      <c r="K447" s="34" t="s">
        <v>1992</v>
      </c>
      <c r="L447" s="34" t="s">
        <v>1992</v>
      </c>
      <c r="M447" s="34"/>
      <c r="N447" s="34"/>
      <c r="O447" s="34"/>
      <c r="P447" s="102"/>
      <c r="Q447" s="34"/>
      <c r="R447" s="102"/>
    </row>
    <row r="448" spans="1:18" ht="16.5" x14ac:dyDescent="0.35">
      <c r="A448" s="34" t="s">
        <v>1989</v>
      </c>
      <c r="B448" s="34" t="s">
        <v>2001</v>
      </c>
      <c r="C448" s="20" t="s">
        <v>503</v>
      </c>
      <c r="D448" s="34"/>
      <c r="E448" s="34">
        <v>10</v>
      </c>
      <c r="F448" s="254">
        <v>0</v>
      </c>
      <c r="G448" s="174"/>
      <c r="H448" s="34" t="s">
        <v>1992</v>
      </c>
      <c r="I448" s="34" t="s">
        <v>1992</v>
      </c>
      <c r="J448" s="20" t="s">
        <v>1992</v>
      </c>
      <c r="K448" s="34" t="s">
        <v>1992</v>
      </c>
      <c r="L448" s="34" t="s">
        <v>1992</v>
      </c>
      <c r="M448" s="34"/>
      <c r="N448" s="34"/>
      <c r="O448" s="34"/>
      <c r="P448" s="102"/>
      <c r="Q448" s="34"/>
      <c r="R448" s="102"/>
    </row>
    <row r="449" spans="1:18" ht="16.5" x14ac:dyDescent="0.35">
      <c r="A449" s="34" t="s">
        <v>1989</v>
      </c>
      <c r="B449" s="34" t="s">
        <v>1994</v>
      </c>
      <c r="C449" s="20" t="s">
        <v>504</v>
      </c>
      <c r="D449" s="34"/>
      <c r="E449" s="34">
        <v>10</v>
      </c>
      <c r="F449" s="254">
        <v>37.94</v>
      </c>
      <c r="G449" s="174"/>
      <c r="H449" s="34" t="s">
        <v>1992</v>
      </c>
      <c r="I449" s="34" t="s">
        <v>1992</v>
      </c>
      <c r="J449" s="20" t="s">
        <v>1992</v>
      </c>
      <c r="K449" s="34" t="s">
        <v>1992</v>
      </c>
      <c r="L449" s="34" t="s">
        <v>1992</v>
      </c>
      <c r="M449" s="34"/>
      <c r="N449" s="34"/>
      <c r="O449" s="34"/>
      <c r="P449" s="102"/>
      <c r="Q449" s="34"/>
      <c r="R449" s="102"/>
    </row>
    <row r="450" spans="1:18" ht="16.5" x14ac:dyDescent="0.35">
      <c r="A450" s="34" t="s">
        <v>1993</v>
      </c>
      <c r="B450" s="34" t="s">
        <v>1994</v>
      </c>
      <c r="C450" s="20" t="s">
        <v>505</v>
      </c>
      <c r="D450" s="34"/>
      <c r="E450" s="34">
        <v>10</v>
      </c>
      <c r="F450" s="254">
        <v>4</v>
      </c>
      <c r="G450" s="174"/>
      <c r="H450" s="34" t="s">
        <v>1992</v>
      </c>
      <c r="I450" s="34" t="s">
        <v>1992</v>
      </c>
      <c r="J450" s="20" t="s">
        <v>1992</v>
      </c>
      <c r="K450" s="34" t="s">
        <v>1992</v>
      </c>
      <c r="L450" s="34" t="s">
        <v>1992</v>
      </c>
      <c r="M450" s="34"/>
      <c r="N450" s="34"/>
      <c r="O450" s="34"/>
      <c r="P450" s="102"/>
      <c r="Q450" s="34"/>
      <c r="R450" s="102"/>
    </row>
    <row r="451" spans="1:18" ht="16.5" x14ac:dyDescent="0.35">
      <c r="A451" s="34" t="s">
        <v>1989</v>
      </c>
      <c r="B451" s="34" t="s">
        <v>2001</v>
      </c>
      <c r="C451" s="20" t="s">
        <v>506</v>
      </c>
      <c r="D451" s="34"/>
      <c r="E451" s="34">
        <v>10</v>
      </c>
      <c r="F451" s="254">
        <v>0</v>
      </c>
      <c r="G451" s="174"/>
      <c r="H451" s="34" t="s">
        <v>1992</v>
      </c>
      <c r="I451" s="34" t="s">
        <v>1992</v>
      </c>
      <c r="J451" s="20" t="s">
        <v>1992</v>
      </c>
      <c r="K451" s="34" t="s">
        <v>1992</v>
      </c>
      <c r="L451" s="34" t="s">
        <v>1992</v>
      </c>
      <c r="M451" s="34"/>
      <c r="N451" s="34"/>
      <c r="O451" s="34"/>
      <c r="P451" s="102"/>
      <c r="Q451" s="34"/>
      <c r="R451" s="102"/>
    </row>
    <row r="452" spans="1:18" ht="16.5" x14ac:dyDescent="0.35">
      <c r="A452" s="34" t="s">
        <v>1993</v>
      </c>
      <c r="B452" s="34" t="s">
        <v>1990</v>
      </c>
      <c r="C452" s="20" t="s">
        <v>507</v>
      </c>
      <c r="D452" s="34"/>
      <c r="E452" s="34">
        <v>10</v>
      </c>
      <c r="F452" s="254">
        <v>0</v>
      </c>
      <c r="G452" s="174"/>
      <c r="H452" s="34" t="s">
        <v>1992</v>
      </c>
      <c r="I452" s="34" t="s">
        <v>1992</v>
      </c>
      <c r="J452" s="20" t="s">
        <v>1992</v>
      </c>
      <c r="K452" s="34" t="s">
        <v>1992</v>
      </c>
      <c r="L452" s="34" t="s">
        <v>1992</v>
      </c>
      <c r="M452" s="34"/>
      <c r="N452" s="34"/>
      <c r="O452" s="34"/>
      <c r="P452" s="102"/>
      <c r="Q452" s="34"/>
      <c r="R452" s="102"/>
    </row>
    <row r="453" spans="1:18" ht="16.5" x14ac:dyDescent="0.35">
      <c r="A453" s="34" t="s">
        <v>1993</v>
      </c>
      <c r="B453" s="34" t="s">
        <v>1994</v>
      </c>
      <c r="C453" s="20" t="s">
        <v>508</v>
      </c>
      <c r="D453" s="34"/>
      <c r="E453" s="34">
        <v>10</v>
      </c>
      <c r="F453" s="254">
        <v>0</v>
      </c>
      <c r="G453" s="174"/>
      <c r="H453" s="34" t="s">
        <v>1992</v>
      </c>
      <c r="I453" s="34" t="s">
        <v>1992</v>
      </c>
      <c r="J453" s="20" t="s">
        <v>1992</v>
      </c>
      <c r="K453" s="34" t="s">
        <v>1992</v>
      </c>
      <c r="L453" s="34" t="s">
        <v>1992</v>
      </c>
      <c r="M453" s="34"/>
      <c r="N453" s="34"/>
      <c r="O453" s="34"/>
      <c r="P453" s="102"/>
      <c r="Q453" s="34"/>
      <c r="R453" s="102"/>
    </row>
    <row r="454" spans="1:18" ht="16.5" x14ac:dyDescent="0.35">
      <c r="A454" s="34" t="s">
        <v>1989</v>
      </c>
      <c r="B454" s="34" t="s">
        <v>1987</v>
      </c>
      <c r="C454" s="20" t="s">
        <v>509</v>
      </c>
      <c r="D454" s="34"/>
      <c r="E454" s="34">
        <v>10</v>
      </c>
      <c r="F454" s="254">
        <v>11.75</v>
      </c>
      <c r="G454" s="174"/>
      <c r="H454" s="34" t="s">
        <v>1992</v>
      </c>
      <c r="I454" s="34" t="s">
        <v>1992</v>
      </c>
      <c r="J454" s="20" t="s">
        <v>1992</v>
      </c>
      <c r="K454" s="34" t="s">
        <v>1992</v>
      </c>
      <c r="L454" s="34" t="s">
        <v>1992</v>
      </c>
      <c r="M454" s="34"/>
      <c r="N454" s="34"/>
      <c r="O454" s="34"/>
      <c r="P454" s="102"/>
      <c r="Q454" s="34"/>
      <c r="R454" s="102"/>
    </row>
    <row r="455" spans="1:18" ht="16.5" x14ac:dyDescent="0.35">
      <c r="A455" s="34" t="s">
        <v>1993</v>
      </c>
      <c r="B455" s="34" t="s">
        <v>1994</v>
      </c>
      <c r="C455" s="20" t="s">
        <v>510</v>
      </c>
      <c r="D455" s="34">
        <v>12</v>
      </c>
      <c r="E455" s="34">
        <v>10</v>
      </c>
      <c r="F455" s="254">
        <v>3.5</v>
      </c>
      <c r="G455" s="174" t="s">
        <v>2042</v>
      </c>
      <c r="H455" s="34" t="s">
        <v>1992</v>
      </c>
      <c r="I455" s="34" t="s">
        <v>1992</v>
      </c>
      <c r="J455" s="20" t="s">
        <v>1992</v>
      </c>
      <c r="K455" s="34" t="s">
        <v>1992</v>
      </c>
      <c r="L455" s="34" t="s">
        <v>1992</v>
      </c>
      <c r="M455" s="34"/>
      <c r="N455" s="34"/>
      <c r="O455" s="34"/>
      <c r="P455" s="102"/>
      <c r="Q455" s="34"/>
      <c r="R455" s="102"/>
    </row>
    <row r="456" spans="1:18" ht="16.5" x14ac:dyDescent="0.35">
      <c r="A456" s="34" t="s">
        <v>1989</v>
      </c>
      <c r="B456" s="34" t="s">
        <v>1987</v>
      </c>
      <c r="C456" s="20" t="s">
        <v>511</v>
      </c>
      <c r="D456" s="34"/>
      <c r="E456" s="34">
        <v>10</v>
      </c>
      <c r="F456" s="254">
        <v>0.65</v>
      </c>
      <c r="G456" s="174"/>
      <c r="H456" s="34" t="s">
        <v>1992</v>
      </c>
      <c r="I456" s="34" t="s">
        <v>1992</v>
      </c>
      <c r="J456" s="20" t="s">
        <v>1992</v>
      </c>
      <c r="K456" s="34" t="s">
        <v>1992</v>
      </c>
      <c r="L456" s="34" t="s">
        <v>1992</v>
      </c>
      <c r="M456" s="34"/>
      <c r="N456" s="34"/>
      <c r="O456" s="34"/>
      <c r="P456" s="102"/>
      <c r="Q456" s="34"/>
      <c r="R456" s="102"/>
    </row>
    <row r="457" spans="1:18" ht="16.5" x14ac:dyDescent="0.35">
      <c r="A457" s="34" t="s">
        <v>1989</v>
      </c>
      <c r="B457" s="34" t="s">
        <v>1987</v>
      </c>
      <c r="C457" s="20" t="s">
        <v>512</v>
      </c>
      <c r="D457" s="34"/>
      <c r="E457" s="34">
        <v>10</v>
      </c>
      <c r="F457" s="254">
        <v>4.62</v>
      </c>
      <c r="G457" s="174"/>
      <c r="H457" s="34" t="s">
        <v>1992</v>
      </c>
      <c r="I457" s="34" t="s">
        <v>1992</v>
      </c>
      <c r="J457" s="20" t="s">
        <v>1992</v>
      </c>
      <c r="K457" s="34" t="s">
        <v>1992</v>
      </c>
      <c r="L457" s="34" t="s">
        <v>1992</v>
      </c>
      <c r="M457" s="34"/>
      <c r="N457" s="34"/>
      <c r="O457" s="34"/>
      <c r="P457" s="102"/>
      <c r="Q457" s="34"/>
      <c r="R457" s="102"/>
    </row>
    <row r="458" spans="1:18" ht="16.5" x14ac:dyDescent="0.35">
      <c r="A458" s="34" t="s">
        <v>1989</v>
      </c>
      <c r="B458" s="34" t="s">
        <v>1994</v>
      </c>
      <c r="C458" s="20" t="s">
        <v>513</v>
      </c>
      <c r="D458" s="34"/>
      <c r="E458" s="34">
        <v>10</v>
      </c>
      <c r="F458" s="254">
        <v>0</v>
      </c>
      <c r="G458" s="174"/>
      <c r="H458" s="34" t="s">
        <v>1992</v>
      </c>
      <c r="I458" s="34" t="s">
        <v>1992</v>
      </c>
      <c r="J458" s="20" t="s">
        <v>1992</v>
      </c>
      <c r="K458" s="34" t="s">
        <v>1992</v>
      </c>
      <c r="L458" s="34" t="s">
        <v>1992</v>
      </c>
      <c r="M458" s="34"/>
      <c r="N458" s="34"/>
      <c r="O458" s="34"/>
      <c r="P458" s="102"/>
      <c r="Q458" s="34"/>
      <c r="R458" s="102"/>
    </row>
    <row r="459" spans="1:18" ht="16.5" x14ac:dyDescent="0.35">
      <c r="A459" s="34" t="s">
        <v>1989</v>
      </c>
      <c r="B459" s="34" t="s">
        <v>1987</v>
      </c>
      <c r="C459" s="20" t="s">
        <v>514</v>
      </c>
      <c r="D459" s="34"/>
      <c r="E459" s="34">
        <v>10</v>
      </c>
      <c r="F459" s="254">
        <v>0</v>
      </c>
      <c r="G459" s="174"/>
      <c r="H459" s="34" t="s">
        <v>1992</v>
      </c>
      <c r="I459" s="34" t="s">
        <v>1992</v>
      </c>
      <c r="J459" s="20" t="s">
        <v>1992</v>
      </c>
      <c r="K459" s="34" t="s">
        <v>1992</v>
      </c>
      <c r="L459" s="34" t="s">
        <v>1992</v>
      </c>
      <c r="M459" s="34"/>
      <c r="N459" s="34"/>
      <c r="O459" s="34"/>
      <c r="P459" s="102"/>
      <c r="Q459" s="34"/>
      <c r="R459" s="102"/>
    </row>
    <row r="460" spans="1:18" ht="16.5" x14ac:dyDescent="0.35">
      <c r="A460" s="34" t="s">
        <v>1989</v>
      </c>
      <c r="B460" s="34" t="s">
        <v>1994</v>
      </c>
      <c r="C460" s="20" t="s">
        <v>515</v>
      </c>
      <c r="D460" s="34"/>
      <c r="E460" s="34">
        <v>10</v>
      </c>
      <c r="F460" s="254">
        <v>7.67</v>
      </c>
      <c r="G460" s="174"/>
      <c r="H460" s="34" t="s">
        <v>1992</v>
      </c>
      <c r="I460" s="34" t="s">
        <v>1992</v>
      </c>
      <c r="J460" s="20" t="s">
        <v>1992</v>
      </c>
      <c r="K460" s="34" t="s">
        <v>1992</v>
      </c>
      <c r="L460" s="34" t="s">
        <v>1992</v>
      </c>
      <c r="M460" s="34"/>
      <c r="N460" s="34"/>
      <c r="O460" s="34"/>
      <c r="P460" s="102"/>
      <c r="Q460" s="34"/>
      <c r="R460" s="102"/>
    </row>
    <row r="461" spans="1:18" ht="16.5" x14ac:dyDescent="0.35">
      <c r="A461" s="34" t="s">
        <v>1989</v>
      </c>
      <c r="B461" s="34" t="s">
        <v>1990</v>
      </c>
      <c r="C461" s="20" t="s">
        <v>516</v>
      </c>
      <c r="D461" s="34"/>
      <c r="E461" s="34">
        <v>10</v>
      </c>
      <c r="F461" s="254">
        <v>18.895</v>
      </c>
      <c r="G461" s="174"/>
      <c r="H461" s="34" t="s">
        <v>1992</v>
      </c>
      <c r="I461" s="34" t="s">
        <v>1992</v>
      </c>
      <c r="J461" s="20" t="s">
        <v>1992</v>
      </c>
      <c r="K461" s="34" t="s">
        <v>1992</v>
      </c>
      <c r="L461" s="34" t="s">
        <v>1992</v>
      </c>
      <c r="M461" s="34"/>
      <c r="N461" s="34"/>
      <c r="O461" s="34"/>
      <c r="P461" s="102"/>
      <c r="Q461" s="34"/>
      <c r="R461" s="102"/>
    </row>
    <row r="462" spans="1:18" ht="16.5" x14ac:dyDescent="0.35">
      <c r="A462" s="34" t="s">
        <v>1989</v>
      </c>
      <c r="B462" s="34" t="s">
        <v>1994</v>
      </c>
      <c r="C462" s="20" t="s">
        <v>517</v>
      </c>
      <c r="D462" s="34">
        <v>43</v>
      </c>
      <c r="E462" s="34">
        <v>10</v>
      </c>
      <c r="F462" s="254">
        <v>16.875</v>
      </c>
      <c r="G462" s="174" t="s">
        <v>2021</v>
      </c>
      <c r="H462" s="34" t="s">
        <v>1992</v>
      </c>
      <c r="I462" s="34" t="s">
        <v>1992</v>
      </c>
      <c r="J462" s="20" t="s">
        <v>1992</v>
      </c>
      <c r="K462" s="34" t="s">
        <v>1992</v>
      </c>
      <c r="L462" s="34" t="s">
        <v>1992</v>
      </c>
      <c r="M462" s="34"/>
      <c r="N462" s="34"/>
      <c r="O462" s="34"/>
      <c r="P462" s="102"/>
      <c r="Q462" s="34"/>
      <c r="R462" s="102"/>
    </row>
    <row r="463" spans="1:18" ht="16.5" x14ac:dyDescent="0.35">
      <c r="A463" s="34" t="s">
        <v>1989</v>
      </c>
      <c r="B463" s="34" t="s">
        <v>1994</v>
      </c>
      <c r="C463" s="20" t="s">
        <v>518</v>
      </c>
      <c r="D463" s="34"/>
      <c r="E463" s="34">
        <v>10</v>
      </c>
      <c r="F463" s="254">
        <v>2.7650000000000001</v>
      </c>
      <c r="G463" s="174"/>
      <c r="H463" s="34" t="s">
        <v>1992</v>
      </c>
      <c r="I463" s="34" t="s">
        <v>1992</v>
      </c>
      <c r="J463" s="20" t="s">
        <v>1992</v>
      </c>
      <c r="K463" s="34" t="s">
        <v>1992</v>
      </c>
      <c r="L463" s="34" t="s">
        <v>1992</v>
      </c>
      <c r="M463" s="34"/>
      <c r="N463" s="34"/>
      <c r="O463" s="34"/>
      <c r="P463" s="102"/>
      <c r="Q463" s="34"/>
      <c r="R463" s="102"/>
    </row>
    <row r="464" spans="1:18" ht="16.5" x14ac:dyDescent="0.35">
      <c r="A464" s="34" t="s">
        <v>1989</v>
      </c>
      <c r="B464" s="34" t="s">
        <v>1994</v>
      </c>
      <c r="C464" s="20" t="s">
        <v>519</v>
      </c>
      <c r="D464" s="34"/>
      <c r="E464" s="34">
        <v>10</v>
      </c>
      <c r="F464" s="254">
        <v>0.22500000000000001</v>
      </c>
      <c r="G464" s="174"/>
      <c r="H464" s="34" t="s">
        <v>1992</v>
      </c>
      <c r="I464" s="34" t="s">
        <v>1992</v>
      </c>
      <c r="J464" s="20" t="s">
        <v>1992</v>
      </c>
      <c r="K464" s="34" t="s">
        <v>1992</v>
      </c>
      <c r="L464" s="34" t="s">
        <v>1992</v>
      </c>
      <c r="M464" s="34"/>
      <c r="N464" s="34"/>
      <c r="O464" s="34"/>
      <c r="P464" s="102"/>
      <c r="Q464" s="34"/>
      <c r="R464" s="102"/>
    </row>
    <row r="465" spans="1:18" ht="16.5" x14ac:dyDescent="0.35">
      <c r="A465" s="34" t="s">
        <v>1989</v>
      </c>
      <c r="B465" s="34" t="s">
        <v>1994</v>
      </c>
      <c r="C465" s="20" t="s">
        <v>520</v>
      </c>
      <c r="D465" s="34"/>
      <c r="E465" s="34">
        <v>10</v>
      </c>
      <c r="F465" s="254">
        <v>11.92</v>
      </c>
      <c r="G465" s="174"/>
      <c r="H465" s="34" t="s">
        <v>1992</v>
      </c>
      <c r="I465" s="34" t="s">
        <v>1992</v>
      </c>
      <c r="J465" s="20" t="s">
        <v>1992</v>
      </c>
      <c r="K465" s="34" t="s">
        <v>1992</v>
      </c>
      <c r="L465" s="34" t="s">
        <v>1992</v>
      </c>
      <c r="M465" s="34"/>
      <c r="N465" s="34"/>
      <c r="O465" s="34"/>
      <c r="P465" s="102"/>
      <c r="Q465" s="34"/>
      <c r="R465" s="102"/>
    </row>
    <row r="466" spans="1:18" ht="16.5" x14ac:dyDescent="0.35">
      <c r="A466" s="34" t="s">
        <v>1989</v>
      </c>
      <c r="B466" s="34" t="s">
        <v>1994</v>
      </c>
      <c r="C466" s="20" t="s">
        <v>521</v>
      </c>
      <c r="D466" s="34"/>
      <c r="E466" s="34">
        <v>10</v>
      </c>
      <c r="F466" s="254">
        <v>3</v>
      </c>
      <c r="G466" s="174"/>
      <c r="H466" s="34" t="s">
        <v>1992</v>
      </c>
      <c r="I466" s="34" t="s">
        <v>1992</v>
      </c>
      <c r="J466" s="20" t="s">
        <v>1992</v>
      </c>
      <c r="K466" s="34" t="s">
        <v>1992</v>
      </c>
      <c r="L466" s="34" t="s">
        <v>1992</v>
      </c>
      <c r="M466" s="34"/>
      <c r="N466" s="34"/>
      <c r="O466" s="34"/>
      <c r="P466" s="102"/>
      <c r="Q466" s="34"/>
      <c r="R466" s="102"/>
    </row>
    <row r="467" spans="1:18" ht="16.5" x14ac:dyDescent="0.35">
      <c r="A467" s="34" t="s">
        <v>1989</v>
      </c>
      <c r="B467" s="34" t="s">
        <v>1994</v>
      </c>
      <c r="C467" s="20" t="s">
        <v>522</v>
      </c>
      <c r="D467" s="34"/>
      <c r="E467" s="34">
        <v>10</v>
      </c>
      <c r="F467" s="254">
        <v>5.61</v>
      </c>
      <c r="G467" s="174"/>
      <c r="H467" s="34" t="s">
        <v>1992</v>
      </c>
      <c r="I467" s="34" t="s">
        <v>1992</v>
      </c>
      <c r="J467" s="20" t="s">
        <v>1992</v>
      </c>
      <c r="K467" s="34" t="s">
        <v>1992</v>
      </c>
      <c r="L467" s="34" t="s">
        <v>1992</v>
      </c>
      <c r="M467" s="34"/>
      <c r="N467" s="34"/>
      <c r="O467" s="34"/>
      <c r="P467" s="102"/>
      <c r="Q467" s="34"/>
      <c r="R467" s="102"/>
    </row>
    <row r="468" spans="1:18" ht="16.5" x14ac:dyDescent="0.35">
      <c r="A468" s="34" t="s">
        <v>1989</v>
      </c>
      <c r="B468" s="34" t="s">
        <v>1987</v>
      </c>
      <c r="C468" s="20" t="s">
        <v>523</v>
      </c>
      <c r="D468" s="34"/>
      <c r="E468" s="34">
        <v>10</v>
      </c>
      <c r="F468" s="254" t="s">
        <v>70</v>
      </c>
      <c r="G468" s="174"/>
      <c r="H468" s="34" t="s">
        <v>1992</v>
      </c>
      <c r="I468" s="34" t="s">
        <v>1992</v>
      </c>
      <c r="J468" s="20" t="s">
        <v>1992</v>
      </c>
      <c r="K468" s="34" t="s">
        <v>1992</v>
      </c>
      <c r="L468" s="34" t="s">
        <v>1992</v>
      </c>
      <c r="M468" s="34"/>
      <c r="N468" s="34"/>
      <c r="O468" s="34"/>
      <c r="P468" s="102"/>
      <c r="Q468" s="34"/>
      <c r="R468" s="102"/>
    </row>
    <row r="469" spans="1:18" ht="16.5" x14ac:dyDescent="0.35">
      <c r="A469" s="34" t="s">
        <v>1989</v>
      </c>
      <c r="B469" s="34" t="s">
        <v>1987</v>
      </c>
      <c r="C469" s="20" t="s">
        <v>524</v>
      </c>
      <c r="D469" s="34"/>
      <c r="E469" s="34">
        <v>10</v>
      </c>
      <c r="F469" s="254">
        <v>46.3</v>
      </c>
      <c r="G469" s="174"/>
      <c r="H469" s="34" t="s">
        <v>1992</v>
      </c>
      <c r="I469" s="34" t="s">
        <v>1992</v>
      </c>
      <c r="J469" s="20" t="s">
        <v>1992</v>
      </c>
      <c r="K469" s="34" t="s">
        <v>1992</v>
      </c>
      <c r="L469" s="34" t="s">
        <v>1992</v>
      </c>
      <c r="M469" s="34"/>
      <c r="N469" s="34"/>
      <c r="O469" s="34"/>
      <c r="P469" s="102"/>
      <c r="Q469" s="34"/>
      <c r="R469" s="102"/>
    </row>
    <row r="470" spans="1:18" ht="16.5" x14ac:dyDescent="0.35">
      <c r="A470" s="34" t="s">
        <v>1989</v>
      </c>
      <c r="B470" s="34" t="s">
        <v>2001</v>
      </c>
      <c r="C470" s="20" t="s">
        <v>525</v>
      </c>
      <c r="D470" s="34"/>
      <c r="E470" s="34">
        <v>10</v>
      </c>
      <c r="F470" s="254">
        <v>0</v>
      </c>
      <c r="G470" s="174"/>
      <c r="H470" s="34" t="s">
        <v>1992</v>
      </c>
      <c r="I470" s="34" t="s">
        <v>1992</v>
      </c>
      <c r="J470" s="20" t="s">
        <v>1992</v>
      </c>
      <c r="K470" s="34" t="s">
        <v>1992</v>
      </c>
      <c r="L470" s="34" t="s">
        <v>1992</v>
      </c>
      <c r="M470" s="34"/>
      <c r="N470" s="34"/>
      <c r="O470" s="34"/>
      <c r="P470" s="102"/>
      <c r="Q470" s="34"/>
      <c r="R470" s="102"/>
    </row>
    <row r="471" spans="1:18" ht="16.5" x14ac:dyDescent="0.35">
      <c r="A471" s="34" t="s">
        <v>1989</v>
      </c>
      <c r="B471" s="34" t="s">
        <v>1994</v>
      </c>
      <c r="C471" s="20" t="s">
        <v>526</v>
      </c>
      <c r="D471" s="34"/>
      <c r="E471" s="34">
        <v>10</v>
      </c>
      <c r="F471" s="254">
        <v>0</v>
      </c>
      <c r="G471" s="174"/>
      <c r="H471" s="34" t="s">
        <v>1992</v>
      </c>
      <c r="I471" s="34" t="s">
        <v>1992</v>
      </c>
      <c r="J471" s="20" t="s">
        <v>1992</v>
      </c>
      <c r="K471" s="34" t="s">
        <v>1992</v>
      </c>
      <c r="L471" s="34" t="s">
        <v>1992</v>
      </c>
      <c r="M471" s="34"/>
      <c r="N471" s="34"/>
      <c r="O471" s="34"/>
      <c r="P471" s="102"/>
      <c r="Q471" s="34"/>
      <c r="R471" s="102"/>
    </row>
    <row r="472" spans="1:18" ht="16.5" x14ac:dyDescent="0.35">
      <c r="A472" s="34" t="s">
        <v>1989</v>
      </c>
      <c r="B472" s="34" t="s">
        <v>1994</v>
      </c>
      <c r="C472" s="20" t="s">
        <v>527</v>
      </c>
      <c r="D472" s="34"/>
      <c r="E472" s="34">
        <v>10</v>
      </c>
      <c r="F472" s="254">
        <v>20.72</v>
      </c>
      <c r="G472" s="174"/>
      <c r="H472" s="34" t="s">
        <v>1992</v>
      </c>
      <c r="I472" s="34" t="s">
        <v>1992</v>
      </c>
      <c r="J472" s="20" t="s">
        <v>1992</v>
      </c>
      <c r="K472" s="34" t="s">
        <v>1992</v>
      </c>
      <c r="L472" s="34" t="s">
        <v>1992</v>
      </c>
      <c r="M472" s="34"/>
      <c r="N472" s="34"/>
      <c r="O472" s="34"/>
      <c r="P472" s="102"/>
      <c r="Q472" s="34"/>
      <c r="R472" s="102"/>
    </row>
    <row r="473" spans="1:18" ht="16.5" x14ac:dyDescent="0.35">
      <c r="A473" s="34" t="s">
        <v>1986</v>
      </c>
      <c r="B473" s="34" t="s">
        <v>1986</v>
      </c>
      <c r="C473" s="20" t="s">
        <v>2498</v>
      </c>
      <c r="D473" s="34">
        <v>7</v>
      </c>
      <c r="E473" s="34">
        <v>10</v>
      </c>
      <c r="F473" s="254">
        <v>0</v>
      </c>
      <c r="G473" s="174" t="s">
        <v>572</v>
      </c>
      <c r="H473" s="34" t="s">
        <v>1643</v>
      </c>
      <c r="I473" s="34">
        <v>8</v>
      </c>
      <c r="J473" s="104" t="str">
        <f>HYPERLINK("https://www.examplebusiness.com/","https://www.examplebusiness.com/")</f>
        <v>https://www.examplebusiness.com/</v>
      </c>
      <c r="K473" s="34" t="s">
        <v>1643</v>
      </c>
      <c r="L473" s="34" t="s">
        <v>1643</v>
      </c>
      <c r="M473" s="34"/>
      <c r="N473" s="34"/>
      <c r="O473" s="34"/>
      <c r="P473" s="102"/>
      <c r="Q473" s="34"/>
      <c r="R473" s="102"/>
    </row>
    <row r="474" spans="1:18" ht="16.5" x14ac:dyDescent="0.35">
      <c r="A474" s="34" t="s">
        <v>1986</v>
      </c>
      <c r="B474" s="34" t="s">
        <v>1986</v>
      </c>
      <c r="C474" s="20" t="s">
        <v>2547</v>
      </c>
      <c r="D474" s="34">
        <v>12</v>
      </c>
      <c r="E474" s="34">
        <v>10</v>
      </c>
      <c r="F474" s="254">
        <v>0</v>
      </c>
      <c r="G474" s="174" t="s">
        <v>608</v>
      </c>
      <c r="H474" s="34" t="s">
        <v>1643</v>
      </c>
      <c r="I474" s="34">
        <v>43</v>
      </c>
      <c r="J474" s="104" t="str">
        <f>HYPERLINK("https://www.examplebusiness.com/","https://www.examplebusiness.com/")</f>
        <v>https://www.examplebusiness.com/</v>
      </c>
      <c r="K474" s="34" t="s">
        <v>1643</v>
      </c>
      <c r="L474" s="34" t="s">
        <v>1643</v>
      </c>
      <c r="M474" s="34"/>
      <c r="N474" s="34"/>
      <c r="O474" s="34"/>
      <c r="P474" s="102"/>
      <c r="Q474" s="34"/>
      <c r="R474" s="102"/>
    </row>
    <row r="475" spans="1:18" ht="16.5" x14ac:dyDescent="0.35">
      <c r="A475" s="34" t="s">
        <v>1986</v>
      </c>
      <c r="B475" s="34" t="s">
        <v>1986</v>
      </c>
      <c r="C475" s="20" t="s">
        <v>530</v>
      </c>
      <c r="D475" s="34">
        <v>6</v>
      </c>
      <c r="E475" s="34">
        <v>10</v>
      </c>
      <c r="F475" s="254">
        <v>0</v>
      </c>
      <c r="G475" s="174" t="s">
        <v>584</v>
      </c>
      <c r="H475" s="34" t="s">
        <v>1643</v>
      </c>
      <c r="I475" s="34">
        <v>43</v>
      </c>
      <c r="J475" s="104" t="str">
        <f>HYPERLINK("https://www.examplebusiness.com/blog/abc-Example-acquires-true-north-capital-alliance","https://www.examplebusiness.com/blog/abc-Example-acquires-true-north-capital-alliance")</f>
        <v>https://www.examplebusiness.com/blog/abc-Example-acquires-true-north-capital-alliance</v>
      </c>
      <c r="K475" s="34" t="s">
        <v>1643</v>
      </c>
      <c r="L475" s="34" t="s">
        <v>1643</v>
      </c>
      <c r="M475" s="34"/>
      <c r="N475" s="34"/>
      <c r="O475" s="34"/>
      <c r="P475" s="102"/>
      <c r="Q475" s="34"/>
      <c r="R475" s="102"/>
    </row>
    <row r="476" spans="1:18" ht="16.5" x14ac:dyDescent="0.35">
      <c r="A476" s="34" t="s">
        <v>1993</v>
      </c>
      <c r="B476" s="34" t="s">
        <v>2001</v>
      </c>
      <c r="C476" s="20" t="s">
        <v>531</v>
      </c>
      <c r="D476" s="34">
        <v>13</v>
      </c>
      <c r="E476" s="34">
        <v>10</v>
      </c>
      <c r="F476" s="254">
        <v>6.55</v>
      </c>
      <c r="G476" s="174" t="s">
        <v>616</v>
      </c>
      <c r="H476" s="34" t="s">
        <v>1643</v>
      </c>
      <c r="I476" s="34">
        <v>46</v>
      </c>
      <c r="J476" s="104" t="str">
        <f>HYPERLINK("https://www.examplebusiness.com/services-new","https://www.examplebusiness.com/services-new")</f>
        <v>https://www.examplebusiness.com/services-new</v>
      </c>
      <c r="K476" s="34" t="s">
        <v>1643</v>
      </c>
      <c r="L476" s="34" t="s">
        <v>1643</v>
      </c>
      <c r="M476" s="34"/>
      <c r="N476" s="34"/>
      <c r="O476" s="34"/>
      <c r="P476" s="102"/>
      <c r="Q476" s="34"/>
      <c r="R476" s="102"/>
    </row>
    <row r="477" spans="1:18" ht="16.5" x14ac:dyDescent="0.35">
      <c r="A477" s="34" t="s">
        <v>1986</v>
      </c>
      <c r="B477" s="34" t="s">
        <v>1986</v>
      </c>
      <c r="C477" s="20" t="s">
        <v>2566</v>
      </c>
      <c r="D477" s="34">
        <v>2</v>
      </c>
      <c r="E477" s="34">
        <v>10</v>
      </c>
      <c r="F477" s="254" t="s">
        <v>70</v>
      </c>
      <c r="G477" s="174"/>
      <c r="H477" s="34" t="s">
        <v>1643</v>
      </c>
      <c r="I477" s="34">
        <v>57</v>
      </c>
      <c r="J477" s="104" t="str">
        <f>HYPERLINK("https://www.examplebusiness.com/","https://www.examplebusiness.com/")</f>
        <v>https://www.examplebusiness.com/</v>
      </c>
      <c r="K477" s="34" t="s">
        <v>1643</v>
      </c>
      <c r="L477" s="34" t="s">
        <v>1643</v>
      </c>
      <c r="M477" s="34"/>
      <c r="N477" s="34"/>
      <c r="O477" s="34"/>
      <c r="P477" s="102"/>
      <c r="Q477" s="34"/>
      <c r="R477" s="102"/>
    </row>
    <row r="478" spans="1:18" ht="16.5" x14ac:dyDescent="0.35">
      <c r="A478" s="34" t="s">
        <v>1988</v>
      </c>
      <c r="B478" s="34" t="s">
        <v>1986</v>
      </c>
      <c r="C478" s="20" t="s">
        <v>533</v>
      </c>
      <c r="D478" s="34">
        <v>39</v>
      </c>
      <c r="E478" s="34">
        <v>10</v>
      </c>
      <c r="F478" s="254">
        <v>0</v>
      </c>
      <c r="G478" s="174" t="s">
        <v>637</v>
      </c>
      <c r="H478" s="34" t="s">
        <v>1643</v>
      </c>
      <c r="I478" s="34">
        <v>60</v>
      </c>
      <c r="J478" s="104" t="str">
        <f>HYPERLINK("https://www.examplebusiness.com/","https://www.examplebusiness.com/")</f>
        <v>https://www.examplebusiness.com/</v>
      </c>
      <c r="K478" s="34" t="s">
        <v>1643</v>
      </c>
      <c r="L478" s="34" t="s">
        <v>1643</v>
      </c>
      <c r="M478" s="34"/>
      <c r="N478" s="34"/>
      <c r="O478" s="34"/>
      <c r="P478" s="102"/>
      <c r="Q478" s="34"/>
      <c r="R478" s="102"/>
    </row>
    <row r="479" spans="1:18" ht="16.5" x14ac:dyDescent="0.35">
      <c r="A479" s="34" t="s">
        <v>1986</v>
      </c>
      <c r="B479" s="34" t="s">
        <v>1986</v>
      </c>
      <c r="C479" s="20" t="s">
        <v>534</v>
      </c>
      <c r="D479" s="34">
        <v>2</v>
      </c>
      <c r="E479" s="34">
        <v>10</v>
      </c>
      <c r="F479" s="254">
        <v>0</v>
      </c>
      <c r="G479" s="174" t="s">
        <v>586</v>
      </c>
      <c r="H479" s="34" t="s">
        <v>1643</v>
      </c>
      <c r="I479" s="34">
        <v>63</v>
      </c>
      <c r="J479" s="104" t="str">
        <f>HYPERLINK("https://www.examplebusiness.com/blog/end-of-year-planning-set-goals-and-reduce-taxes","https://www.examplebusiness.com/blog/end-of-year-planning-set-goals-and-reduce-taxes")</f>
        <v>https://www.examplebusiness.com/blog/end-of-year-planning-set-goals-and-reduce-taxes</v>
      </c>
      <c r="K479" s="34" t="s">
        <v>1643</v>
      </c>
      <c r="L479" s="34" t="s">
        <v>1643</v>
      </c>
      <c r="M479" s="34"/>
      <c r="N479" s="34"/>
      <c r="O479" s="34"/>
      <c r="P479" s="102"/>
      <c r="Q479" s="34"/>
      <c r="R479" s="102"/>
    </row>
    <row r="480" spans="1:18" ht="16.5" x14ac:dyDescent="0.35">
      <c r="A480" s="34" t="s">
        <v>1986</v>
      </c>
      <c r="B480" s="34" t="s">
        <v>1986</v>
      </c>
      <c r="C480" s="20" t="s">
        <v>535</v>
      </c>
      <c r="D480" s="34">
        <v>24</v>
      </c>
      <c r="E480" s="34">
        <v>10</v>
      </c>
      <c r="F480" s="254">
        <v>0</v>
      </c>
      <c r="G480" s="174" t="s">
        <v>631</v>
      </c>
      <c r="H480" s="34" t="s">
        <v>1643</v>
      </c>
      <c r="I480" s="34">
        <v>69</v>
      </c>
      <c r="J480" s="104" t="str">
        <f>HYPERLINK("https://www.examplebusiness.com/blog/evaluating-investment-risk","https://www.examplebusiness.com/blog/evaluating-investment-risk")</f>
        <v>https://www.examplebusiness.com/blog/evaluating-investment-risk</v>
      </c>
      <c r="K480" s="34" t="s">
        <v>1643</v>
      </c>
      <c r="L480" s="34" t="s">
        <v>1643</v>
      </c>
      <c r="M480" s="34"/>
      <c r="N480" s="34"/>
      <c r="O480" s="34"/>
      <c r="P480" s="102"/>
      <c r="Q480" s="34"/>
      <c r="R480" s="102"/>
    </row>
    <row r="481" spans="1:18" ht="16.5" x14ac:dyDescent="0.35">
      <c r="A481" s="34" t="s">
        <v>1986</v>
      </c>
      <c r="B481" s="34" t="s">
        <v>1987</v>
      </c>
      <c r="C481" s="20" t="s">
        <v>536</v>
      </c>
      <c r="D481" s="34">
        <v>20</v>
      </c>
      <c r="E481" s="34">
        <v>10</v>
      </c>
      <c r="F481" s="254">
        <v>0</v>
      </c>
      <c r="G481" s="174" t="s">
        <v>572</v>
      </c>
      <c r="H481" s="34" t="s">
        <v>1643</v>
      </c>
      <c r="I481" s="34">
        <v>75</v>
      </c>
      <c r="J481" s="104" t="str">
        <f>HYPERLINK("https://www.examplebusiness.com/blog/socially-responsible-investing","https://www.examplebusiness.com/blog/socially-responsible-investing")</f>
        <v>https://www.examplebusiness.com/blog/socially-responsible-investing</v>
      </c>
      <c r="K481" s="34" t="s">
        <v>1643</v>
      </c>
      <c r="L481" s="34" t="s">
        <v>1643</v>
      </c>
      <c r="M481" s="34"/>
      <c r="N481" s="34"/>
      <c r="O481" s="34"/>
      <c r="P481" s="102"/>
      <c r="Q481" s="34"/>
      <c r="R481" s="102"/>
    </row>
    <row r="482" spans="1:18" ht="16.5" x14ac:dyDescent="0.35">
      <c r="A482" s="34" t="s">
        <v>1993</v>
      </c>
      <c r="B482" s="34" t="s">
        <v>1987</v>
      </c>
      <c r="C482" s="20" t="s">
        <v>537</v>
      </c>
      <c r="D482" s="34">
        <v>0</v>
      </c>
      <c r="E482" s="34">
        <v>10</v>
      </c>
      <c r="F482" s="254">
        <v>0</v>
      </c>
      <c r="G482" s="174" t="s">
        <v>625</v>
      </c>
      <c r="H482" s="34" t="s">
        <v>1643</v>
      </c>
      <c r="I482" s="34">
        <v>77</v>
      </c>
      <c r="J482" s="104" t="str">
        <f>HYPERLINK("https://www.examplebusiness.com/team/robert-withers-1","https://www.examplebusiness.com/team/robert-withers-1")</f>
        <v>https://www.examplebusiness.com/team/robert-withers-1</v>
      </c>
      <c r="K482" s="34" t="s">
        <v>1643</v>
      </c>
      <c r="L482" s="34" t="s">
        <v>1643</v>
      </c>
      <c r="M482" s="34"/>
      <c r="N482" s="34"/>
      <c r="O482" s="34"/>
      <c r="P482" s="102"/>
      <c r="Q482" s="34"/>
      <c r="R482" s="102"/>
    </row>
    <row r="483" spans="1:18" ht="16.5" x14ac:dyDescent="0.35">
      <c r="A483" s="34" t="s">
        <v>1986</v>
      </c>
      <c r="B483" s="34" t="s">
        <v>1986</v>
      </c>
      <c r="C483" s="20" t="s">
        <v>538</v>
      </c>
      <c r="D483" s="34">
        <v>38</v>
      </c>
      <c r="E483" s="34">
        <v>10</v>
      </c>
      <c r="F483" s="254">
        <v>0</v>
      </c>
      <c r="G483" s="174" t="s">
        <v>631</v>
      </c>
      <c r="H483" s="34" t="s">
        <v>1643</v>
      </c>
      <c r="I483" s="34">
        <v>79</v>
      </c>
      <c r="J483" s="104" t="str">
        <f>HYPERLINK("https://www.examplebusiness.com/blog/investing-in-an-election-year","https://www.examplebusiness.com/blog/investing-in-an-election-year")</f>
        <v>https://www.examplebusiness.com/blog/investing-in-an-election-year</v>
      </c>
      <c r="K483" s="34" t="s">
        <v>1643</v>
      </c>
      <c r="L483" s="34" t="s">
        <v>1643</v>
      </c>
      <c r="M483" s="34"/>
      <c r="N483" s="34"/>
      <c r="O483" s="34"/>
      <c r="P483" s="102"/>
      <c r="Q483" s="34"/>
      <c r="R483" s="102"/>
    </row>
    <row r="484" spans="1:18" ht="16.5" x14ac:dyDescent="0.35">
      <c r="A484" s="34" t="s">
        <v>1986</v>
      </c>
      <c r="B484" s="34" t="s">
        <v>1986</v>
      </c>
      <c r="C484" s="20" t="s">
        <v>539</v>
      </c>
      <c r="D484" s="34">
        <v>0</v>
      </c>
      <c r="E484" s="34">
        <v>10</v>
      </c>
      <c r="F484" s="254">
        <v>0</v>
      </c>
      <c r="G484" s="174" t="s">
        <v>660</v>
      </c>
      <c r="H484" s="34" t="s">
        <v>1643</v>
      </c>
      <c r="I484" s="34">
        <v>85</v>
      </c>
      <c r="J484" s="104" t="str">
        <f>HYPERLINK("https://www.examplebusiness.com/blog/coping-with-market-volatility-in-uncertain-times","https://www.examplebusiness.com/blog/coping-with-market-volatility-in-uncertain-times")</f>
        <v>https://www.examplebusiness.com/blog/coping-with-market-volatility-in-uncertain-times</v>
      </c>
      <c r="K484" s="34" t="s">
        <v>1643</v>
      </c>
      <c r="L484" s="34" t="s">
        <v>1643</v>
      </c>
      <c r="M484" s="34"/>
      <c r="N484" s="34"/>
      <c r="O484" s="34"/>
      <c r="P484" s="102"/>
      <c r="Q484" s="34"/>
      <c r="R484" s="102"/>
    </row>
    <row r="485" spans="1:18" ht="16.5" x14ac:dyDescent="0.35">
      <c r="A485" s="34" t="s">
        <v>1986</v>
      </c>
      <c r="B485" s="34" t="s">
        <v>1986</v>
      </c>
      <c r="C485" s="20" t="s">
        <v>2567</v>
      </c>
      <c r="D485" s="34">
        <v>17</v>
      </c>
      <c r="E485" s="34">
        <v>10</v>
      </c>
      <c r="F485" s="254">
        <v>0</v>
      </c>
      <c r="G485" s="174" t="s">
        <v>631</v>
      </c>
      <c r="H485" s="34" t="s">
        <v>1643</v>
      </c>
      <c r="I485" s="34">
        <v>86</v>
      </c>
      <c r="J485" s="104" t="str">
        <f>HYPERLINK("https://www.examplebusiness.com/","https://www.examplebusiness.com/")</f>
        <v>https://www.examplebusiness.com/</v>
      </c>
      <c r="K485" s="34" t="s">
        <v>1643</v>
      </c>
      <c r="L485" s="34" t="s">
        <v>1643</v>
      </c>
      <c r="M485" s="34"/>
      <c r="N485" s="34"/>
      <c r="O485" s="34"/>
      <c r="P485" s="102"/>
      <c r="Q485" s="34"/>
      <c r="R485" s="102"/>
    </row>
    <row r="486" spans="1:18" ht="16.5" x14ac:dyDescent="0.35">
      <c r="A486" s="34" t="s">
        <v>1986</v>
      </c>
      <c r="B486" s="34" t="s">
        <v>1986</v>
      </c>
      <c r="C486" s="20" t="s">
        <v>541</v>
      </c>
      <c r="D486" s="34">
        <v>3</v>
      </c>
      <c r="E486" s="34">
        <v>10</v>
      </c>
      <c r="F486" s="254">
        <v>0</v>
      </c>
      <c r="G486" s="174" t="s">
        <v>591</v>
      </c>
      <c r="H486" s="34" t="s">
        <v>1643</v>
      </c>
      <c r="I486" s="34">
        <v>86</v>
      </c>
      <c r="J486" s="104" t="str">
        <f>HYPERLINK("https://www.examplebusiness.com/blog/abc-Example-acquires-true-north-capital-alliance","https://www.examplebusiness.com/blog/abc-Example-acquires-true-north-capital-alliance")</f>
        <v>https://www.examplebusiness.com/blog/abc-Example-acquires-true-north-capital-alliance</v>
      </c>
      <c r="K486" s="34" t="s">
        <v>1643</v>
      </c>
      <c r="L486" s="34" t="s">
        <v>1643</v>
      </c>
      <c r="M486" s="34"/>
      <c r="N486" s="34"/>
      <c r="O486" s="34"/>
      <c r="P486" s="102"/>
      <c r="Q486" s="34"/>
      <c r="R486" s="102"/>
    </row>
    <row r="487" spans="1:18" ht="16.5" x14ac:dyDescent="0.35">
      <c r="A487" s="34" t="s">
        <v>1986</v>
      </c>
      <c r="B487" s="34" t="s">
        <v>1986</v>
      </c>
      <c r="C487" s="20" t="s">
        <v>542</v>
      </c>
      <c r="D487" s="34">
        <v>0</v>
      </c>
      <c r="E487" s="34">
        <v>10</v>
      </c>
      <c r="F487" s="254">
        <v>0</v>
      </c>
      <c r="G487" s="174" t="s">
        <v>570</v>
      </c>
      <c r="H487" s="34" t="s">
        <v>1643</v>
      </c>
      <c r="I487" s="34">
        <v>91</v>
      </c>
      <c r="J487" s="104" t="str">
        <f>HYPERLINK("https://www.examplebusiness.com/blog/6-ways-to-a-happier-retirement","https://www.examplebusiness.com/blog/6-ways-to-a-happier-retirement")</f>
        <v>https://www.examplebusiness.com/blog/6-ways-to-a-happier-retirement</v>
      </c>
      <c r="K487" s="34" t="s">
        <v>1643</v>
      </c>
      <c r="L487" s="34" t="s">
        <v>1643</v>
      </c>
      <c r="M487" s="34"/>
      <c r="N487" s="34"/>
      <c r="O487" s="34"/>
      <c r="P487" s="102"/>
      <c r="Q487" s="34"/>
      <c r="R487" s="102"/>
    </row>
    <row r="488" spans="1:18" ht="16.5" x14ac:dyDescent="0.35">
      <c r="A488" s="34" t="s">
        <v>1989</v>
      </c>
      <c r="B488" s="34" t="s">
        <v>1987</v>
      </c>
      <c r="C488" s="20" t="s">
        <v>543</v>
      </c>
      <c r="D488" s="34"/>
      <c r="E488" s="34">
        <v>5</v>
      </c>
      <c r="F488" s="254">
        <v>0</v>
      </c>
      <c r="G488" s="174"/>
      <c r="H488" s="34" t="s">
        <v>1992</v>
      </c>
      <c r="I488" s="34" t="s">
        <v>1992</v>
      </c>
      <c r="J488" s="20" t="s">
        <v>1992</v>
      </c>
      <c r="K488" s="34" t="s">
        <v>1992</v>
      </c>
      <c r="L488" s="34" t="s">
        <v>1992</v>
      </c>
      <c r="M488" s="34"/>
      <c r="N488" s="34"/>
      <c r="O488" s="34"/>
      <c r="P488" s="102"/>
      <c r="Q488" s="34"/>
      <c r="R488" s="102"/>
    </row>
    <row r="489" spans="1:18" ht="16.5" x14ac:dyDescent="0.35">
      <c r="A489" s="34" t="s">
        <v>1989</v>
      </c>
      <c r="B489" s="34" t="s">
        <v>1987</v>
      </c>
      <c r="C489" s="20" t="s">
        <v>544</v>
      </c>
      <c r="D489" s="34"/>
      <c r="E489" s="34">
        <v>5</v>
      </c>
      <c r="F489" s="254">
        <v>0</v>
      </c>
      <c r="G489" s="174"/>
      <c r="H489" s="34" t="s">
        <v>1992</v>
      </c>
      <c r="I489" s="34" t="s">
        <v>1992</v>
      </c>
      <c r="J489" s="20" t="s">
        <v>1992</v>
      </c>
      <c r="K489" s="34" t="s">
        <v>1992</v>
      </c>
      <c r="L489" s="34" t="s">
        <v>1992</v>
      </c>
      <c r="M489" s="34"/>
      <c r="N489" s="34"/>
      <c r="O489" s="34"/>
      <c r="P489" s="102"/>
      <c r="Q489" s="34"/>
      <c r="R489" s="102"/>
    </row>
    <row r="490" spans="1:18" ht="16.5" x14ac:dyDescent="0.35">
      <c r="A490" s="34" t="s">
        <v>1989</v>
      </c>
      <c r="B490" s="34" t="s">
        <v>1994</v>
      </c>
      <c r="C490" s="20" t="s">
        <v>545</v>
      </c>
      <c r="D490" s="34"/>
      <c r="E490" s="34">
        <v>5</v>
      </c>
      <c r="F490" s="254">
        <v>0</v>
      </c>
      <c r="G490" s="174"/>
      <c r="H490" s="34" t="s">
        <v>1992</v>
      </c>
      <c r="I490" s="34" t="s">
        <v>1992</v>
      </c>
      <c r="J490" s="20" t="s">
        <v>1992</v>
      </c>
      <c r="K490" s="34" t="s">
        <v>1992</v>
      </c>
      <c r="L490" s="34" t="s">
        <v>1992</v>
      </c>
      <c r="M490" s="34"/>
      <c r="N490" s="34"/>
      <c r="O490" s="34"/>
      <c r="P490" s="102"/>
      <c r="Q490" s="34"/>
      <c r="R490" s="102"/>
    </row>
    <row r="491" spans="1:18" ht="16.5" x14ac:dyDescent="0.35">
      <c r="A491" s="34" t="s">
        <v>1989</v>
      </c>
      <c r="B491" s="34" t="s">
        <v>2001</v>
      </c>
      <c r="C491" s="20" t="s">
        <v>546</v>
      </c>
      <c r="D491" s="34"/>
      <c r="E491" s="34">
        <v>5</v>
      </c>
      <c r="F491" s="254">
        <v>0</v>
      </c>
      <c r="G491" s="174"/>
      <c r="H491" s="34" t="s">
        <v>1992</v>
      </c>
      <c r="I491" s="34" t="s">
        <v>1992</v>
      </c>
      <c r="J491" s="20" t="s">
        <v>1992</v>
      </c>
      <c r="K491" s="34" t="s">
        <v>1992</v>
      </c>
      <c r="L491" s="34" t="s">
        <v>1992</v>
      </c>
      <c r="M491" s="34"/>
      <c r="N491" s="34"/>
      <c r="O491" s="34"/>
      <c r="P491" s="102"/>
      <c r="Q491" s="34"/>
      <c r="R491" s="102"/>
    </row>
    <row r="492" spans="1:18" ht="16.5" x14ac:dyDescent="0.35">
      <c r="A492" s="34" t="s">
        <v>1989</v>
      </c>
      <c r="B492" s="34" t="s">
        <v>1994</v>
      </c>
      <c r="C492" s="20" t="s">
        <v>547</v>
      </c>
      <c r="D492" s="34"/>
      <c r="E492" s="34">
        <v>5</v>
      </c>
      <c r="F492" s="254">
        <v>0</v>
      </c>
      <c r="G492" s="174"/>
      <c r="H492" s="34" t="s">
        <v>1992</v>
      </c>
      <c r="I492" s="34" t="s">
        <v>1992</v>
      </c>
      <c r="J492" s="20" t="s">
        <v>1992</v>
      </c>
      <c r="K492" s="34" t="s">
        <v>1992</v>
      </c>
      <c r="L492" s="34" t="s">
        <v>1992</v>
      </c>
      <c r="M492" s="34"/>
      <c r="N492" s="34"/>
      <c r="O492" s="34"/>
      <c r="P492" s="102"/>
      <c r="Q492" s="34"/>
      <c r="R492" s="102"/>
    </row>
    <row r="493" spans="1:18" ht="16.5" x14ac:dyDescent="0.35">
      <c r="A493" s="34" t="s">
        <v>1989</v>
      </c>
      <c r="B493" s="34" t="s">
        <v>1994</v>
      </c>
      <c r="C493" s="20" t="s">
        <v>548</v>
      </c>
      <c r="D493" s="34">
        <v>23</v>
      </c>
      <c r="E493" s="34">
        <v>5</v>
      </c>
      <c r="F493" s="254">
        <v>0</v>
      </c>
      <c r="G493" s="174" t="s">
        <v>2002</v>
      </c>
      <c r="H493" s="34" t="s">
        <v>1992</v>
      </c>
      <c r="I493" s="34" t="s">
        <v>1992</v>
      </c>
      <c r="J493" s="20" t="s">
        <v>1992</v>
      </c>
      <c r="K493" s="34" t="s">
        <v>1992</v>
      </c>
      <c r="L493" s="34" t="s">
        <v>1992</v>
      </c>
      <c r="M493" s="34"/>
      <c r="N493" s="34"/>
      <c r="O493" s="34"/>
      <c r="P493" s="102"/>
      <c r="Q493" s="34"/>
      <c r="R493" s="102"/>
    </row>
    <row r="494" spans="1:18" ht="16.5" x14ac:dyDescent="0.35">
      <c r="A494" s="34" t="s">
        <v>1986</v>
      </c>
      <c r="B494" s="34" t="s">
        <v>1986</v>
      </c>
      <c r="C494" s="20" t="s">
        <v>549</v>
      </c>
      <c r="D494" s="34">
        <v>0</v>
      </c>
      <c r="E494" s="34">
        <v>5</v>
      </c>
      <c r="F494" s="254">
        <v>0</v>
      </c>
      <c r="G494" s="174" t="s">
        <v>572</v>
      </c>
      <c r="H494" s="34" t="s">
        <v>1643</v>
      </c>
      <c r="I494" s="34">
        <v>12</v>
      </c>
      <c r="J494" s="104" t="str">
        <f>HYPERLINK("https://www.examplebusiness.com/team/jeff-thompson-1","https://www.examplebusiness.com/team/jeff-thompson-1")</f>
        <v>https://www.examplebusiness.com/team/jeff-thompson-1</v>
      </c>
      <c r="K494" s="34" t="s">
        <v>1643</v>
      </c>
      <c r="L494" s="34" t="s">
        <v>1643</v>
      </c>
      <c r="M494" s="34"/>
      <c r="N494" s="34"/>
      <c r="O494" s="34"/>
      <c r="P494" s="102"/>
      <c r="Q494" s="34"/>
      <c r="R494" s="102"/>
    </row>
    <row r="495" spans="1:18" ht="16.5" x14ac:dyDescent="0.35">
      <c r="A495" s="34" t="s">
        <v>1986</v>
      </c>
      <c r="B495" s="34" t="s">
        <v>1986</v>
      </c>
      <c r="C495" s="20" t="s">
        <v>550</v>
      </c>
      <c r="D495" s="34">
        <v>0</v>
      </c>
      <c r="E495" s="34">
        <v>5</v>
      </c>
      <c r="F495" s="254">
        <v>0</v>
      </c>
      <c r="G495" s="174" t="s">
        <v>598</v>
      </c>
      <c r="H495" s="34" t="s">
        <v>1643</v>
      </c>
      <c r="I495" s="34">
        <v>28</v>
      </c>
      <c r="J495" s="104" t="str">
        <f>HYPERLINK("https://www.examplebusiness.com/team/mike-rogers-1","https://www.examplebusiness.com/team/mike-rogers-1")</f>
        <v>https://www.examplebusiness.com/team/mike-rogers-1</v>
      </c>
      <c r="K495" s="34" t="s">
        <v>1643</v>
      </c>
      <c r="L495" s="34" t="s">
        <v>1643</v>
      </c>
      <c r="M495" s="34"/>
      <c r="N495" s="34"/>
      <c r="O495" s="34"/>
      <c r="P495" s="102"/>
      <c r="Q495" s="34"/>
      <c r="R495" s="102"/>
    </row>
    <row r="496" spans="1:18" ht="16.5" x14ac:dyDescent="0.35">
      <c r="A496" s="34" t="s">
        <v>1986</v>
      </c>
      <c r="B496" s="34" t="s">
        <v>1986</v>
      </c>
      <c r="C496" s="20" t="s">
        <v>551</v>
      </c>
      <c r="D496" s="34">
        <v>0</v>
      </c>
      <c r="E496" s="34">
        <v>5</v>
      </c>
      <c r="F496" s="254">
        <v>0</v>
      </c>
      <c r="G496" s="174" t="s">
        <v>604</v>
      </c>
      <c r="H496" s="34" t="s">
        <v>1643</v>
      </c>
      <c r="I496" s="34">
        <v>37</v>
      </c>
      <c r="J496" s="104" t="str">
        <f>HYPERLINK("https://www.examplebusiness.com/team/john-vanderpoel","https://www.examplebusiness.com/team/john-vanderpoel")</f>
        <v>https://www.examplebusiness.com/team/john-vanderpoel</v>
      </c>
      <c r="K496" s="34" t="s">
        <v>1643</v>
      </c>
      <c r="L496" s="34" t="s">
        <v>1643</v>
      </c>
      <c r="M496" s="34"/>
      <c r="N496" s="34"/>
      <c r="O496" s="34"/>
      <c r="P496" s="102"/>
      <c r="Q496" s="34"/>
      <c r="R496" s="102"/>
    </row>
    <row r="497" spans="1:18" ht="16.5" x14ac:dyDescent="0.35">
      <c r="A497" s="34" t="s">
        <v>1993</v>
      </c>
      <c r="B497" s="34" t="s">
        <v>1986</v>
      </c>
      <c r="C497" s="20" t="s">
        <v>552</v>
      </c>
      <c r="D497" s="34">
        <v>24</v>
      </c>
      <c r="E497" s="34">
        <v>5</v>
      </c>
      <c r="F497" s="254">
        <v>0</v>
      </c>
      <c r="G497" s="174" t="s">
        <v>631</v>
      </c>
      <c r="H497" s="34" t="s">
        <v>1643</v>
      </c>
      <c r="I497" s="34">
        <v>59</v>
      </c>
      <c r="J497" s="104" t="str">
        <f>HYPERLINK("https://www.examplebusiness.com/tools/glossary","https://www.examplebusiness.com/tools/glossary")</f>
        <v>https://www.examplebusiness.com/tools/glossary</v>
      </c>
      <c r="K497" s="34" t="s">
        <v>1643</v>
      </c>
      <c r="L497" s="34" t="s">
        <v>1643</v>
      </c>
      <c r="M497" s="34"/>
      <c r="N497" s="34"/>
      <c r="O497" s="34"/>
      <c r="P497" s="102"/>
      <c r="Q497" s="34"/>
      <c r="R497" s="102"/>
    </row>
    <row r="498" spans="1:18" ht="16.5" x14ac:dyDescent="0.35">
      <c r="A498" s="34" t="s">
        <v>1988</v>
      </c>
      <c r="B498" s="34" t="s">
        <v>1986</v>
      </c>
      <c r="C498" s="20" t="s">
        <v>553</v>
      </c>
      <c r="D498" s="34">
        <v>0</v>
      </c>
      <c r="E498" s="34">
        <v>5</v>
      </c>
      <c r="F498" s="254">
        <v>0</v>
      </c>
      <c r="G498" s="174" t="s">
        <v>654</v>
      </c>
      <c r="H498" s="34" t="s">
        <v>1643</v>
      </c>
      <c r="I498" s="34">
        <v>80</v>
      </c>
      <c r="J498" s="104" t="str">
        <f>HYPERLINK("http://www.examplebusiness.com/resource-center/lifestyle/tips-to-prevent-marital-rift","http://www.examplebusiness.com/resource-center/lifestyle/tips-to-prevent-marital-rift")</f>
        <v>http://www.examplebusiness.com/resource-center/lifestyle/tips-to-prevent-marital-rift</v>
      </c>
      <c r="K498" s="34" t="s">
        <v>1643</v>
      </c>
      <c r="L498" s="34" t="s">
        <v>1643</v>
      </c>
      <c r="M498" s="34"/>
      <c r="N498" s="34"/>
      <c r="O498" s="34"/>
      <c r="P498" s="102"/>
      <c r="Q498" s="34"/>
      <c r="R498" s="102"/>
    </row>
    <row r="499" spans="1:18" ht="16.5" x14ac:dyDescent="0.35">
      <c r="A499" s="34" t="s">
        <v>1988</v>
      </c>
      <c r="B499" s="34" t="s">
        <v>1987</v>
      </c>
      <c r="C499" s="20" t="s">
        <v>554</v>
      </c>
      <c r="D499" s="34">
        <v>40</v>
      </c>
      <c r="E499" s="34">
        <v>5</v>
      </c>
      <c r="F499" s="254">
        <v>0</v>
      </c>
      <c r="G499" s="174" t="s">
        <v>665</v>
      </c>
      <c r="H499" s="34" t="s">
        <v>1643</v>
      </c>
      <c r="I499" s="34">
        <v>89</v>
      </c>
      <c r="J499" s="104" t="str">
        <f>HYPERLINK("https://www.examplebusiness.com/blog/socially-responsible-investing","https://www.examplebusiness.com/blog/socially-responsible-investing")</f>
        <v>https://www.examplebusiness.com/blog/socially-responsible-investing</v>
      </c>
      <c r="K499" s="34" t="s">
        <v>1643</v>
      </c>
      <c r="L499" s="34" t="s">
        <v>1643</v>
      </c>
      <c r="M499" s="34"/>
      <c r="N499" s="34"/>
      <c r="O499" s="34"/>
      <c r="P499" s="102"/>
      <c r="Q499" s="34"/>
      <c r="R499" s="102"/>
    </row>
  </sheetData>
  <conditionalFormatting sqref="A1:A499">
    <cfRule type="cellIs" dxfId="11" priority="5" operator="equal">
      <formula>"commercial investigation"</formula>
    </cfRule>
    <cfRule type="cellIs" dxfId="10" priority="6" operator="equal">
      <formula>"informational"</formula>
    </cfRule>
    <cfRule type="cellIs" dxfId="9" priority="7" operator="equal">
      <formula>"navigational"</formula>
    </cfRule>
    <cfRule type="cellIs" dxfId="8" priority="8" operator="equal">
      <formula>"transactional"</formula>
    </cfRule>
    <cfRule type="cellIs" dxfId="7" priority="9" operator="equal">
      <formula>"other"</formula>
    </cfRule>
  </conditionalFormatting>
  <conditionalFormatting sqref="D1:D499">
    <cfRule type="colorScale" priority="3">
      <colorScale>
        <cfvo type="min"/>
        <cfvo type="max"/>
        <color rgb="FF57BB8A"/>
        <color rgb="FFFFFFFF"/>
      </colorScale>
    </cfRule>
  </conditionalFormatting>
  <conditionalFormatting sqref="E2:E499">
    <cfRule type="colorScale" priority="1">
      <colorScale>
        <cfvo type="min"/>
        <cfvo type="max"/>
        <color rgb="FFFFFFFF"/>
        <color rgb="FF57BB8A"/>
      </colorScale>
    </cfRule>
  </conditionalFormatting>
  <conditionalFormatting sqref="F2:F499">
    <cfRule type="colorScale" priority="2">
      <colorScale>
        <cfvo type="min"/>
        <cfvo type="max"/>
        <color rgb="FF57BB8A"/>
        <color rgb="FFFFFFFF"/>
      </colorScale>
    </cfRule>
  </conditionalFormatting>
  <conditionalFormatting sqref="H1:H499">
    <cfRule type="cellIs" dxfId="6" priority="13" operator="equal">
      <formula>"yes"</formula>
    </cfRule>
    <cfRule type="cellIs" dxfId="5" priority="14" operator="equal">
      <formula>"no"</formula>
    </cfRule>
  </conditionalFormatting>
  <conditionalFormatting sqref="I1:I499">
    <cfRule type="colorScale" priority="4">
      <colorScale>
        <cfvo type="min"/>
        <cfvo type="max"/>
        <color rgb="FFFFD666"/>
        <color rgb="FFFFFFFF"/>
      </colorScale>
    </cfRule>
  </conditionalFormatting>
  <conditionalFormatting sqref="K1:L499">
    <cfRule type="cellIs" dxfId="4" priority="15" operator="equal">
      <formula>"yes"</formula>
    </cfRule>
    <cfRule type="cellIs" dxfId="3" priority="16" operator="equal">
      <formula>"no"</formula>
    </cfRule>
  </conditionalFormatting>
  <conditionalFormatting sqref="N1:N499">
    <cfRule type="containsText" dxfId="2" priority="10" operator="containsText" text="-">
      <formula>NOT(ISERROR(SEARCH(("-"),(N1))))</formula>
    </cfRule>
    <cfRule type="cellIs" dxfId="1" priority="11" operator="equal">
      <formula>0</formula>
    </cfRule>
  </conditionalFormatting>
  <conditionalFormatting sqref="N2:N499">
    <cfRule type="notContainsBlanks" dxfId="0" priority="12">
      <formula>LEN(TRIM(N2))&gt;0</formula>
    </cfRule>
  </conditionalFormatting>
  <hyperlinks>
    <hyperlink ref="C239" r:id="rId1" xr:uid="{00000000-0004-0000-0C00-00000000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ummaryRight="0"/>
  </sheetPr>
  <dimension ref="A1:C1000"/>
  <sheetViews>
    <sheetView workbookViewId="0">
      <pane ySplit="1" topLeftCell="A2" activePane="bottomLeft" state="frozen"/>
      <selection pane="bottomLeft" activeCell="B3" sqref="B3"/>
    </sheetView>
  </sheetViews>
  <sheetFormatPr defaultColWidth="12.5703125" defaultRowHeight="15.75" customHeight="1" x14ac:dyDescent="0.2"/>
  <cols>
    <col min="1" max="3" width="48.42578125" customWidth="1"/>
  </cols>
  <sheetData>
    <row r="1" spans="1:3" ht="15.75" customHeight="1" x14ac:dyDescent="0.4">
      <c r="A1" s="256" t="s">
        <v>561</v>
      </c>
      <c r="B1" s="256" t="s">
        <v>2043</v>
      </c>
      <c r="C1" s="256" t="s">
        <v>2044</v>
      </c>
    </row>
    <row r="2" spans="1:3" ht="15.75" customHeight="1" x14ac:dyDescent="0.35">
      <c r="A2" s="20"/>
      <c r="B2" s="20"/>
      <c r="C2" s="20"/>
    </row>
    <row r="3" spans="1:3" ht="15.75" customHeight="1" x14ac:dyDescent="0.35">
      <c r="A3" s="20"/>
      <c r="B3" s="20"/>
      <c r="C3" s="20"/>
    </row>
    <row r="4" spans="1:3" ht="15.75" customHeight="1" x14ac:dyDescent="0.35">
      <c r="A4" s="20"/>
      <c r="B4" s="20"/>
      <c r="C4" s="20"/>
    </row>
    <row r="5" spans="1:3" ht="15.75" customHeight="1" x14ac:dyDescent="0.35">
      <c r="A5" s="20"/>
      <c r="B5" s="20"/>
      <c r="C5" s="20"/>
    </row>
    <row r="6" spans="1:3" ht="15.75" customHeight="1" x14ac:dyDescent="0.35">
      <c r="A6" s="20"/>
      <c r="B6" s="20"/>
      <c r="C6" s="20"/>
    </row>
    <row r="7" spans="1:3" ht="15.75" customHeight="1" x14ac:dyDescent="0.35">
      <c r="A7" s="20"/>
      <c r="B7" s="20"/>
      <c r="C7" s="20"/>
    </row>
    <row r="8" spans="1:3" ht="15.75" customHeight="1" x14ac:dyDescent="0.35">
      <c r="A8" s="20"/>
      <c r="B8" s="20"/>
      <c r="C8" s="20"/>
    </row>
    <row r="9" spans="1:3" ht="15.75" customHeight="1" x14ac:dyDescent="0.35">
      <c r="A9" s="20"/>
      <c r="B9" s="20"/>
      <c r="C9" s="20"/>
    </row>
    <row r="10" spans="1:3" ht="15.75" customHeight="1" x14ac:dyDescent="0.35">
      <c r="A10" s="20"/>
      <c r="B10" s="20"/>
      <c r="C10" s="20"/>
    </row>
    <row r="11" spans="1:3" ht="15.75" customHeight="1" x14ac:dyDescent="0.35">
      <c r="A11" s="20"/>
      <c r="B11" s="20"/>
      <c r="C11" s="20"/>
    </row>
    <row r="12" spans="1:3" ht="15.75" customHeight="1" x14ac:dyDescent="0.35">
      <c r="A12" s="20"/>
      <c r="B12" s="20"/>
      <c r="C12" s="20"/>
    </row>
    <row r="13" spans="1:3" ht="15.75" customHeight="1" x14ac:dyDescent="0.35">
      <c r="A13" s="20"/>
      <c r="B13" s="20"/>
      <c r="C13" s="20"/>
    </row>
    <row r="14" spans="1:3" ht="15.75" customHeight="1" x14ac:dyDescent="0.35">
      <c r="A14" s="20"/>
      <c r="B14" s="20"/>
      <c r="C14" s="20"/>
    </row>
    <row r="15" spans="1:3" ht="15.75" customHeight="1" x14ac:dyDescent="0.35">
      <c r="A15" s="20"/>
      <c r="B15" s="20"/>
      <c r="C15" s="20"/>
    </row>
    <row r="16" spans="1:3" ht="15.75" customHeight="1" x14ac:dyDescent="0.35">
      <c r="A16" s="20"/>
      <c r="B16" s="20"/>
      <c r="C16" s="20"/>
    </row>
    <row r="17" spans="1:3" ht="15.75" customHeight="1" x14ac:dyDescent="0.35">
      <c r="A17" s="20"/>
      <c r="B17" s="20"/>
      <c r="C17" s="20"/>
    </row>
    <row r="18" spans="1:3" ht="15.75" customHeight="1" x14ac:dyDescent="0.35">
      <c r="A18" s="20"/>
      <c r="B18" s="20"/>
      <c r="C18" s="20"/>
    </row>
    <row r="19" spans="1:3" ht="15.75" customHeight="1" x14ac:dyDescent="0.35">
      <c r="A19" s="20"/>
      <c r="B19" s="20"/>
      <c r="C19" s="20"/>
    </row>
    <row r="20" spans="1:3" ht="15.75" customHeight="1" x14ac:dyDescent="0.35">
      <c r="A20" s="20"/>
      <c r="B20" s="20"/>
      <c r="C20" s="20"/>
    </row>
    <row r="21" spans="1:3" ht="15.75" customHeight="1" x14ac:dyDescent="0.35">
      <c r="A21" s="20"/>
      <c r="B21" s="20"/>
      <c r="C21" s="20"/>
    </row>
    <row r="22" spans="1:3" ht="15.75" customHeight="1" x14ac:dyDescent="0.35">
      <c r="A22" s="20"/>
      <c r="B22" s="20"/>
      <c r="C22" s="20"/>
    </row>
    <row r="23" spans="1:3" ht="15.75" customHeight="1" x14ac:dyDescent="0.35">
      <c r="A23" s="20"/>
      <c r="B23" s="20"/>
      <c r="C23" s="20"/>
    </row>
    <row r="24" spans="1:3" ht="16.5" x14ac:dyDescent="0.35">
      <c r="A24" s="20"/>
      <c r="B24" s="20"/>
      <c r="C24" s="20"/>
    </row>
    <row r="25" spans="1:3" ht="16.5" x14ac:dyDescent="0.35">
      <c r="A25" s="20"/>
      <c r="B25" s="20"/>
      <c r="C25" s="20"/>
    </row>
    <row r="26" spans="1:3" ht="16.5" x14ac:dyDescent="0.35">
      <c r="A26" s="20"/>
      <c r="B26" s="20"/>
      <c r="C26" s="20"/>
    </row>
    <row r="27" spans="1:3" ht="16.5" x14ac:dyDescent="0.35">
      <c r="A27" s="20"/>
      <c r="B27" s="20"/>
      <c r="C27" s="20"/>
    </row>
    <row r="28" spans="1:3" ht="16.5" x14ac:dyDescent="0.35">
      <c r="A28" s="20"/>
      <c r="B28" s="20"/>
      <c r="C28" s="20"/>
    </row>
    <row r="29" spans="1:3" ht="16.5" x14ac:dyDescent="0.35">
      <c r="A29" s="20"/>
      <c r="B29" s="20"/>
      <c r="C29" s="20"/>
    </row>
    <row r="30" spans="1:3" ht="16.5" x14ac:dyDescent="0.35">
      <c r="A30" s="20"/>
      <c r="B30" s="20"/>
      <c r="C30" s="20"/>
    </row>
    <row r="31" spans="1:3" ht="16.5" x14ac:dyDescent="0.35">
      <c r="A31" s="20"/>
      <c r="B31" s="20"/>
      <c r="C31" s="20"/>
    </row>
    <row r="32" spans="1:3" ht="16.5" x14ac:dyDescent="0.35">
      <c r="A32" s="20"/>
      <c r="B32" s="20"/>
      <c r="C32" s="20"/>
    </row>
    <row r="33" spans="1:3" ht="16.5" x14ac:dyDescent="0.35">
      <c r="A33" s="20"/>
      <c r="B33" s="20"/>
      <c r="C33" s="20"/>
    </row>
    <row r="34" spans="1:3" ht="16.5" x14ac:dyDescent="0.35">
      <c r="A34" s="20"/>
      <c r="B34" s="20"/>
      <c r="C34" s="20"/>
    </row>
    <row r="35" spans="1:3" ht="16.5" x14ac:dyDescent="0.35">
      <c r="A35" s="20"/>
      <c r="B35" s="20"/>
      <c r="C35" s="20"/>
    </row>
    <row r="36" spans="1:3" ht="16.5" x14ac:dyDescent="0.35">
      <c r="A36" s="20"/>
      <c r="B36" s="20"/>
      <c r="C36" s="20"/>
    </row>
    <row r="37" spans="1:3" ht="16.5" x14ac:dyDescent="0.35">
      <c r="A37" s="20"/>
      <c r="B37" s="20"/>
      <c r="C37" s="20"/>
    </row>
    <row r="38" spans="1:3" ht="16.5" x14ac:dyDescent="0.35">
      <c r="A38" s="20"/>
      <c r="B38" s="20"/>
      <c r="C38" s="20"/>
    </row>
    <row r="39" spans="1:3" ht="16.5" x14ac:dyDescent="0.35">
      <c r="A39" s="20"/>
      <c r="B39" s="20"/>
      <c r="C39" s="20"/>
    </row>
    <row r="40" spans="1:3" ht="16.5" x14ac:dyDescent="0.35">
      <c r="A40" s="20"/>
      <c r="B40" s="20"/>
      <c r="C40" s="20"/>
    </row>
    <row r="41" spans="1:3" ht="16.5" x14ac:dyDescent="0.35">
      <c r="A41" s="20"/>
      <c r="B41" s="20"/>
      <c r="C41" s="20"/>
    </row>
    <row r="42" spans="1:3" ht="16.5" x14ac:dyDescent="0.35">
      <c r="A42" s="20"/>
      <c r="B42" s="20"/>
      <c r="C42" s="20"/>
    </row>
    <row r="43" spans="1:3" ht="16.5" x14ac:dyDescent="0.35">
      <c r="A43" s="20"/>
      <c r="B43" s="20"/>
      <c r="C43" s="20"/>
    </row>
    <row r="44" spans="1:3" ht="16.5" x14ac:dyDescent="0.35">
      <c r="A44" s="20"/>
      <c r="B44" s="20"/>
      <c r="C44" s="20"/>
    </row>
    <row r="45" spans="1:3" ht="16.5" x14ac:dyDescent="0.35">
      <c r="A45" s="20"/>
      <c r="B45" s="20"/>
      <c r="C45" s="20"/>
    </row>
    <row r="46" spans="1:3" ht="16.5" x14ac:dyDescent="0.35">
      <c r="A46" s="20"/>
      <c r="B46" s="20"/>
      <c r="C46" s="20"/>
    </row>
    <row r="47" spans="1:3" ht="16.5" x14ac:dyDescent="0.35">
      <c r="A47" s="20"/>
      <c r="B47" s="20"/>
      <c r="C47" s="20"/>
    </row>
    <row r="48" spans="1:3" ht="16.5" x14ac:dyDescent="0.35">
      <c r="A48" s="20"/>
      <c r="B48" s="20"/>
      <c r="C48" s="20"/>
    </row>
    <row r="49" spans="1:3" ht="16.5" x14ac:dyDescent="0.35">
      <c r="A49" s="20"/>
      <c r="B49" s="20"/>
      <c r="C49" s="20"/>
    </row>
    <row r="50" spans="1:3" ht="16.5" x14ac:dyDescent="0.35">
      <c r="A50" s="20"/>
      <c r="B50" s="20"/>
      <c r="C50" s="20"/>
    </row>
    <row r="51" spans="1:3" ht="16.5" x14ac:dyDescent="0.35">
      <c r="A51" s="20"/>
      <c r="B51" s="20"/>
      <c r="C51" s="20"/>
    </row>
    <row r="52" spans="1:3" ht="16.5" x14ac:dyDescent="0.35">
      <c r="A52" s="20"/>
      <c r="B52" s="20"/>
      <c r="C52" s="20"/>
    </row>
    <row r="53" spans="1:3" ht="16.5" x14ac:dyDescent="0.35">
      <c r="A53" s="20"/>
      <c r="B53" s="20"/>
      <c r="C53" s="20"/>
    </row>
    <row r="54" spans="1:3" ht="16.5" x14ac:dyDescent="0.35">
      <c r="A54" s="20"/>
      <c r="B54" s="20"/>
      <c r="C54" s="20"/>
    </row>
    <row r="55" spans="1:3" ht="16.5" x14ac:dyDescent="0.35">
      <c r="A55" s="20"/>
      <c r="B55" s="20"/>
      <c r="C55" s="20"/>
    </row>
    <row r="56" spans="1:3" ht="16.5" x14ac:dyDescent="0.35">
      <c r="A56" s="20"/>
      <c r="B56" s="20"/>
      <c r="C56" s="20"/>
    </row>
    <row r="57" spans="1:3" ht="16.5" x14ac:dyDescent="0.35">
      <c r="A57" s="20"/>
      <c r="B57" s="20"/>
      <c r="C57" s="20"/>
    </row>
    <row r="58" spans="1:3" ht="16.5" x14ac:dyDescent="0.35">
      <c r="A58" s="20"/>
      <c r="B58" s="20"/>
      <c r="C58" s="20"/>
    </row>
    <row r="59" spans="1:3" ht="16.5" x14ac:dyDescent="0.35">
      <c r="A59" s="20"/>
      <c r="B59" s="20"/>
      <c r="C59" s="20"/>
    </row>
    <row r="60" spans="1:3" ht="16.5" x14ac:dyDescent="0.35">
      <c r="A60" s="20"/>
      <c r="B60" s="20"/>
      <c r="C60" s="20"/>
    </row>
    <row r="61" spans="1:3" ht="16.5" x14ac:dyDescent="0.35">
      <c r="A61" s="20"/>
      <c r="B61" s="20"/>
      <c r="C61" s="20"/>
    </row>
    <row r="62" spans="1:3" ht="16.5" x14ac:dyDescent="0.35">
      <c r="A62" s="20"/>
      <c r="B62" s="20"/>
      <c r="C62" s="20"/>
    </row>
    <row r="63" spans="1:3" ht="16.5" x14ac:dyDescent="0.35">
      <c r="A63" s="20"/>
      <c r="B63" s="20"/>
      <c r="C63" s="20"/>
    </row>
    <row r="64" spans="1:3" ht="16.5" x14ac:dyDescent="0.35">
      <c r="A64" s="20"/>
      <c r="B64" s="20"/>
      <c r="C64" s="20"/>
    </row>
    <row r="65" spans="1:3" ht="16.5" x14ac:dyDescent="0.35">
      <c r="A65" s="20"/>
      <c r="B65" s="20"/>
      <c r="C65" s="20"/>
    </row>
    <row r="66" spans="1:3" ht="16.5" x14ac:dyDescent="0.35">
      <c r="A66" s="20"/>
      <c r="B66" s="20"/>
      <c r="C66" s="20"/>
    </row>
    <row r="67" spans="1:3" ht="16.5" x14ac:dyDescent="0.35">
      <c r="A67" s="20"/>
      <c r="B67" s="20"/>
      <c r="C67" s="20"/>
    </row>
    <row r="68" spans="1:3" ht="16.5" x14ac:dyDescent="0.35">
      <c r="A68" s="20"/>
      <c r="B68" s="20"/>
      <c r="C68" s="20"/>
    </row>
    <row r="69" spans="1:3" ht="16.5" x14ac:dyDescent="0.35">
      <c r="A69" s="20"/>
      <c r="B69" s="20"/>
      <c r="C69" s="20"/>
    </row>
    <row r="70" spans="1:3" ht="16.5" x14ac:dyDescent="0.35">
      <c r="A70" s="20"/>
      <c r="B70" s="20"/>
      <c r="C70" s="20"/>
    </row>
    <row r="71" spans="1:3" ht="16.5" x14ac:dyDescent="0.35">
      <c r="A71" s="20"/>
      <c r="B71" s="20"/>
      <c r="C71" s="20"/>
    </row>
    <row r="72" spans="1:3" ht="16.5" x14ac:dyDescent="0.35">
      <c r="A72" s="20"/>
      <c r="B72" s="20"/>
      <c r="C72" s="20"/>
    </row>
    <row r="73" spans="1:3" ht="16.5" x14ac:dyDescent="0.35">
      <c r="A73" s="20"/>
      <c r="B73" s="20"/>
      <c r="C73" s="20"/>
    </row>
    <row r="74" spans="1:3" ht="16.5" x14ac:dyDescent="0.35">
      <c r="A74" s="20"/>
      <c r="B74" s="20"/>
      <c r="C74" s="20"/>
    </row>
    <row r="75" spans="1:3" ht="16.5" x14ac:dyDescent="0.35">
      <c r="A75" s="20"/>
      <c r="B75" s="20"/>
      <c r="C75" s="20"/>
    </row>
    <row r="76" spans="1:3" ht="16.5" x14ac:dyDescent="0.35">
      <c r="A76" s="20"/>
      <c r="B76" s="20"/>
      <c r="C76" s="20"/>
    </row>
    <row r="77" spans="1:3" ht="16.5" x14ac:dyDescent="0.35">
      <c r="A77" s="20"/>
      <c r="B77" s="20"/>
      <c r="C77" s="20"/>
    </row>
    <row r="78" spans="1:3" ht="16.5" x14ac:dyDescent="0.35">
      <c r="A78" s="20"/>
      <c r="B78" s="20"/>
      <c r="C78" s="20"/>
    </row>
    <row r="79" spans="1:3" ht="16.5" x14ac:dyDescent="0.35">
      <c r="A79" s="20"/>
      <c r="B79" s="20"/>
      <c r="C79" s="20"/>
    </row>
    <row r="80" spans="1:3" ht="16.5" x14ac:dyDescent="0.35">
      <c r="A80" s="20"/>
      <c r="B80" s="20"/>
      <c r="C80" s="20"/>
    </row>
    <row r="81" spans="1:3" ht="16.5" x14ac:dyDescent="0.35">
      <c r="A81" s="20"/>
      <c r="B81" s="20"/>
      <c r="C81" s="20"/>
    </row>
    <row r="82" spans="1:3" ht="16.5" x14ac:dyDescent="0.35">
      <c r="A82" s="20"/>
      <c r="B82" s="20"/>
      <c r="C82" s="20"/>
    </row>
    <row r="83" spans="1:3" ht="16.5" x14ac:dyDescent="0.35">
      <c r="A83" s="20"/>
      <c r="B83" s="20"/>
      <c r="C83" s="20"/>
    </row>
    <row r="84" spans="1:3" ht="16.5" x14ac:dyDescent="0.35">
      <c r="A84" s="20"/>
      <c r="B84" s="20"/>
      <c r="C84" s="20"/>
    </row>
    <row r="85" spans="1:3" ht="16.5" x14ac:dyDescent="0.35">
      <c r="A85" s="20"/>
      <c r="B85" s="20"/>
      <c r="C85" s="20"/>
    </row>
    <row r="86" spans="1:3" ht="16.5" x14ac:dyDescent="0.35">
      <c r="A86" s="20"/>
      <c r="B86" s="20"/>
      <c r="C86" s="20"/>
    </row>
    <row r="87" spans="1:3" ht="16.5" x14ac:dyDescent="0.35">
      <c r="A87" s="20"/>
      <c r="B87" s="20"/>
      <c r="C87" s="20"/>
    </row>
    <row r="88" spans="1:3" ht="16.5" x14ac:dyDescent="0.35">
      <c r="A88" s="20"/>
      <c r="B88" s="20"/>
      <c r="C88" s="20"/>
    </row>
    <row r="89" spans="1:3" ht="16.5" x14ac:dyDescent="0.35">
      <c r="A89" s="20"/>
      <c r="B89" s="20"/>
      <c r="C89" s="20"/>
    </row>
    <row r="90" spans="1:3" ht="16.5" x14ac:dyDescent="0.35">
      <c r="A90" s="20"/>
      <c r="B90" s="20"/>
      <c r="C90" s="20"/>
    </row>
    <row r="91" spans="1:3" ht="16.5" x14ac:dyDescent="0.35">
      <c r="A91" s="20"/>
      <c r="B91" s="20"/>
      <c r="C91" s="20"/>
    </row>
    <row r="92" spans="1:3" ht="16.5" x14ac:dyDescent="0.35">
      <c r="A92" s="20"/>
      <c r="B92" s="20"/>
      <c r="C92" s="20"/>
    </row>
    <row r="93" spans="1:3" ht="16.5" x14ac:dyDescent="0.35">
      <c r="A93" s="20"/>
      <c r="B93" s="20"/>
      <c r="C93" s="20"/>
    </row>
    <row r="94" spans="1:3" ht="16.5" x14ac:dyDescent="0.35">
      <c r="A94" s="20"/>
      <c r="B94" s="20"/>
      <c r="C94" s="20"/>
    </row>
    <row r="95" spans="1:3" ht="16.5" x14ac:dyDescent="0.35">
      <c r="A95" s="20"/>
      <c r="B95" s="20"/>
      <c r="C95" s="20"/>
    </row>
    <row r="96" spans="1:3" ht="16.5" x14ac:dyDescent="0.35">
      <c r="A96" s="20"/>
      <c r="B96" s="20"/>
      <c r="C96" s="20"/>
    </row>
    <row r="97" spans="1:3" ht="16.5" x14ac:dyDescent="0.35">
      <c r="A97" s="20"/>
      <c r="B97" s="20"/>
      <c r="C97" s="20"/>
    </row>
    <row r="98" spans="1:3" ht="16.5" x14ac:dyDescent="0.35">
      <c r="A98" s="20"/>
      <c r="B98" s="20"/>
      <c r="C98" s="20"/>
    </row>
    <row r="99" spans="1:3" ht="16.5" x14ac:dyDescent="0.35">
      <c r="A99" s="20"/>
      <c r="B99" s="20"/>
      <c r="C99" s="20"/>
    </row>
    <row r="100" spans="1:3" ht="16.5" x14ac:dyDescent="0.35">
      <c r="A100" s="20"/>
      <c r="B100" s="20"/>
      <c r="C100" s="20"/>
    </row>
    <row r="101" spans="1:3" ht="16.5" x14ac:dyDescent="0.35">
      <c r="A101" s="20"/>
      <c r="B101" s="20"/>
      <c r="C101" s="20"/>
    </row>
    <row r="102" spans="1:3" ht="16.5" x14ac:dyDescent="0.35">
      <c r="A102" s="20"/>
      <c r="B102" s="20"/>
      <c r="C102" s="20"/>
    </row>
    <row r="103" spans="1:3" ht="16.5" x14ac:dyDescent="0.35">
      <c r="A103" s="20"/>
      <c r="B103" s="20"/>
      <c r="C103" s="20"/>
    </row>
    <row r="104" spans="1:3" ht="16.5" x14ac:dyDescent="0.35">
      <c r="A104" s="20"/>
      <c r="B104" s="20"/>
      <c r="C104" s="20"/>
    </row>
    <row r="105" spans="1:3" ht="16.5" x14ac:dyDescent="0.35">
      <c r="A105" s="20"/>
      <c r="B105" s="20"/>
      <c r="C105" s="20"/>
    </row>
    <row r="106" spans="1:3" ht="16.5" x14ac:dyDescent="0.35">
      <c r="A106" s="20"/>
      <c r="B106" s="20"/>
      <c r="C106" s="20"/>
    </row>
    <row r="107" spans="1:3" ht="16.5" x14ac:dyDescent="0.35">
      <c r="A107" s="20"/>
      <c r="B107" s="20"/>
      <c r="C107" s="20"/>
    </row>
    <row r="108" spans="1:3" ht="16.5" x14ac:dyDescent="0.35">
      <c r="A108" s="20"/>
      <c r="B108" s="20"/>
      <c r="C108" s="20"/>
    </row>
    <row r="109" spans="1:3" ht="16.5" x14ac:dyDescent="0.35">
      <c r="A109" s="20"/>
      <c r="B109" s="20"/>
      <c r="C109" s="20"/>
    </row>
    <row r="110" spans="1:3" ht="16.5" x14ac:dyDescent="0.35">
      <c r="A110" s="20"/>
      <c r="B110" s="20"/>
      <c r="C110" s="20"/>
    </row>
    <row r="111" spans="1:3" ht="16.5" x14ac:dyDescent="0.35">
      <c r="A111" s="20"/>
      <c r="B111" s="20"/>
      <c r="C111" s="20"/>
    </row>
    <row r="112" spans="1:3" ht="16.5" x14ac:dyDescent="0.35">
      <c r="A112" s="20"/>
      <c r="B112" s="20"/>
      <c r="C112" s="20"/>
    </row>
    <row r="113" spans="1:3" ht="16.5" x14ac:dyDescent="0.35">
      <c r="A113" s="20"/>
      <c r="B113" s="20"/>
      <c r="C113" s="20"/>
    </row>
    <row r="114" spans="1:3" ht="16.5" x14ac:dyDescent="0.35">
      <c r="A114" s="20"/>
      <c r="B114" s="20"/>
      <c r="C114" s="20"/>
    </row>
    <row r="115" spans="1:3" ht="16.5" x14ac:dyDescent="0.35">
      <c r="A115" s="20"/>
      <c r="B115" s="20"/>
      <c r="C115" s="20"/>
    </row>
    <row r="116" spans="1:3" ht="16.5" x14ac:dyDescent="0.35">
      <c r="A116" s="20"/>
      <c r="B116" s="20"/>
      <c r="C116" s="20"/>
    </row>
    <row r="117" spans="1:3" ht="16.5" x14ac:dyDescent="0.35">
      <c r="A117" s="20"/>
      <c r="B117" s="20"/>
      <c r="C117" s="20"/>
    </row>
    <row r="118" spans="1:3" ht="16.5" x14ac:dyDescent="0.35">
      <c r="A118" s="20"/>
      <c r="B118" s="20"/>
      <c r="C118" s="20"/>
    </row>
    <row r="119" spans="1:3" ht="16.5" x14ac:dyDescent="0.35">
      <c r="A119" s="20"/>
      <c r="B119" s="20"/>
      <c r="C119" s="20"/>
    </row>
    <row r="120" spans="1:3" ht="16.5" x14ac:dyDescent="0.35">
      <c r="A120" s="20"/>
      <c r="B120" s="20"/>
      <c r="C120" s="20"/>
    </row>
    <row r="121" spans="1:3" ht="16.5" x14ac:dyDescent="0.35">
      <c r="A121" s="20"/>
      <c r="B121" s="20"/>
      <c r="C121" s="20"/>
    </row>
    <row r="122" spans="1:3" ht="16.5" x14ac:dyDescent="0.35">
      <c r="A122" s="20"/>
      <c r="B122" s="20"/>
      <c r="C122" s="20"/>
    </row>
    <row r="123" spans="1:3" ht="16.5" x14ac:dyDescent="0.35">
      <c r="A123" s="20"/>
      <c r="B123" s="20"/>
      <c r="C123" s="20"/>
    </row>
    <row r="124" spans="1:3" ht="16.5" x14ac:dyDescent="0.35">
      <c r="A124" s="20"/>
      <c r="B124" s="20"/>
      <c r="C124" s="20"/>
    </row>
    <row r="125" spans="1:3" ht="16.5" x14ac:dyDescent="0.35">
      <c r="A125" s="20"/>
      <c r="B125" s="20"/>
      <c r="C125" s="20"/>
    </row>
    <row r="126" spans="1:3" ht="16.5" x14ac:dyDescent="0.35">
      <c r="A126" s="20"/>
      <c r="B126" s="20"/>
      <c r="C126" s="20"/>
    </row>
    <row r="127" spans="1:3" ht="16.5" x14ac:dyDescent="0.35">
      <c r="A127" s="20"/>
      <c r="B127" s="20"/>
      <c r="C127" s="20"/>
    </row>
    <row r="128" spans="1:3" ht="16.5" x14ac:dyDescent="0.35">
      <c r="A128" s="20"/>
      <c r="B128" s="20"/>
      <c r="C128" s="20"/>
    </row>
    <row r="129" spans="1:3" ht="16.5" x14ac:dyDescent="0.35">
      <c r="A129" s="20"/>
      <c r="B129" s="20"/>
      <c r="C129" s="20"/>
    </row>
    <row r="130" spans="1:3" ht="16.5" x14ac:dyDescent="0.35">
      <c r="A130" s="20"/>
      <c r="B130" s="20"/>
      <c r="C130" s="20"/>
    </row>
    <row r="131" spans="1:3" ht="16.5" x14ac:dyDescent="0.35">
      <c r="A131" s="20"/>
      <c r="B131" s="20"/>
      <c r="C131" s="20"/>
    </row>
    <row r="132" spans="1:3" ht="16.5" x14ac:dyDescent="0.35">
      <c r="A132" s="20"/>
      <c r="B132" s="20"/>
      <c r="C132" s="20"/>
    </row>
    <row r="133" spans="1:3" ht="16.5" x14ac:dyDescent="0.35">
      <c r="A133" s="20"/>
      <c r="B133" s="20"/>
      <c r="C133" s="20"/>
    </row>
    <row r="134" spans="1:3" ht="16.5" x14ac:dyDescent="0.35">
      <c r="A134" s="20"/>
      <c r="B134" s="20"/>
      <c r="C134" s="20"/>
    </row>
    <row r="135" spans="1:3" ht="16.5" x14ac:dyDescent="0.35">
      <c r="A135" s="20"/>
      <c r="B135" s="20"/>
      <c r="C135" s="20"/>
    </row>
    <row r="136" spans="1:3" ht="16.5" x14ac:dyDescent="0.35">
      <c r="A136" s="20"/>
      <c r="B136" s="20"/>
      <c r="C136" s="20"/>
    </row>
    <row r="137" spans="1:3" ht="16.5" x14ac:dyDescent="0.35">
      <c r="A137" s="20"/>
      <c r="B137" s="20"/>
      <c r="C137" s="20"/>
    </row>
    <row r="138" spans="1:3" ht="16.5" x14ac:dyDescent="0.35">
      <c r="A138" s="20"/>
      <c r="B138" s="20"/>
      <c r="C138" s="20"/>
    </row>
    <row r="139" spans="1:3" ht="16.5" x14ac:dyDescent="0.35">
      <c r="A139" s="20"/>
      <c r="B139" s="20"/>
      <c r="C139" s="20"/>
    </row>
    <row r="140" spans="1:3" ht="16.5" x14ac:dyDescent="0.35">
      <c r="A140" s="20"/>
      <c r="B140" s="20"/>
      <c r="C140" s="20"/>
    </row>
    <row r="141" spans="1:3" ht="16.5" x14ac:dyDescent="0.35">
      <c r="A141" s="20"/>
      <c r="B141" s="20"/>
      <c r="C141" s="20"/>
    </row>
    <row r="142" spans="1:3" ht="16.5" x14ac:dyDescent="0.35">
      <c r="A142" s="20"/>
      <c r="B142" s="20"/>
      <c r="C142" s="20"/>
    </row>
    <row r="143" spans="1:3" ht="16.5" x14ac:dyDescent="0.35">
      <c r="A143" s="20"/>
      <c r="B143" s="20"/>
      <c r="C143" s="20"/>
    </row>
    <row r="144" spans="1:3" ht="16.5" x14ac:dyDescent="0.35">
      <c r="A144" s="20"/>
      <c r="B144" s="20"/>
      <c r="C144" s="20"/>
    </row>
    <row r="145" spans="1:3" ht="16.5" x14ac:dyDescent="0.35">
      <c r="A145" s="20"/>
      <c r="B145" s="20"/>
      <c r="C145" s="20"/>
    </row>
    <row r="146" spans="1:3" ht="16.5" x14ac:dyDescent="0.35">
      <c r="A146" s="20"/>
      <c r="B146" s="20"/>
      <c r="C146" s="20"/>
    </row>
    <row r="147" spans="1:3" ht="16.5" x14ac:dyDescent="0.35">
      <c r="A147" s="20"/>
      <c r="B147" s="20"/>
      <c r="C147" s="20"/>
    </row>
    <row r="148" spans="1:3" ht="16.5" x14ac:dyDescent="0.35">
      <c r="A148" s="20"/>
      <c r="B148" s="20"/>
      <c r="C148" s="20"/>
    </row>
    <row r="149" spans="1:3" ht="16.5" x14ac:dyDescent="0.35">
      <c r="A149" s="20"/>
      <c r="B149" s="20"/>
      <c r="C149" s="20"/>
    </row>
    <row r="150" spans="1:3" ht="16.5" x14ac:dyDescent="0.35">
      <c r="A150" s="20"/>
      <c r="B150" s="20"/>
      <c r="C150" s="20"/>
    </row>
    <row r="151" spans="1:3" ht="16.5" x14ac:dyDescent="0.35">
      <c r="A151" s="20"/>
      <c r="B151" s="20"/>
      <c r="C151" s="20"/>
    </row>
    <row r="152" spans="1:3" ht="16.5" x14ac:dyDescent="0.35">
      <c r="A152" s="20"/>
      <c r="B152" s="20"/>
      <c r="C152" s="20"/>
    </row>
    <row r="153" spans="1:3" ht="16.5" x14ac:dyDescent="0.35">
      <c r="A153" s="20"/>
      <c r="B153" s="20"/>
      <c r="C153" s="20"/>
    </row>
    <row r="154" spans="1:3" ht="16.5" x14ac:dyDescent="0.35">
      <c r="A154" s="20"/>
      <c r="B154" s="20"/>
      <c r="C154" s="20"/>
    </row>
    <row r="155" spans="1:3" ht="16.5" x14ac:dyDescent="0.35">
      <c r="A155" s="20"/>
      <c r="B155" s="20"/>
      <c r="C155" s="20"/>
    </row>
    <row r="156" spans="1:3" ht="16.5" x14ac:dyDescent="0.35">
      <c r="A156" s="20"/>
      <c r="B156" s="20"/>
      <c r="C156" s="20"/>
    </row>
    <row r="157" spans="1:3" ht="16.5" x14ac:dyDescent="0.35">
      <c r="A157" s="20"/>
      <c r="B157" s="20"/>
      <c r="C157" s="20"/>
    </row>
    <row r="158" spans="1:3" ht="16.5" x14ac:dyDescent="0.35">
      <c r="A158" s="20"/>
      <c r="B158" s="20"/>
      <c r="C158" s="20"/>
    </row>
    <row r="159" spans="1:3" ht="16.5" x14ac:dyDescent="0.35">
      <c r="A159" s="20"/>
      <c r="B159" s="20"/>
      <c r="C159" s="20"/>
    </row>
    <row r="160" spans="1:3" ht="16.5" x14ac:dyDescent="0.35">
      <c r="A160" s="20"/>
      <c r="B160" s="20"/>
      <c r="C160" s="20"/>
    </row>
    <row r="161" spans="1:3" ht="16.5" x14ac:dyDescent="0.35">
      <c r="A161" s="20"/>
      <c r="B161" s="20"/>
      <c r="C161" s="20"/>
    </row>
    <row r="162" spans="1:3" ht="16.5" x14ac:dyDescent="0.35">
      <c r="A162" s="20"/>
      <c r="B162" s="20"/>
      <c r="C162" s="20"/>
    </row>
    <row r="163" spans="1:3" ht="16.5" x14ac:dyDescent="0.35">
      <c r="A163" s="20"/>
      <c r="B163" s="20"/>
      <c r="C163" s="20"/>
    </row>
    <row r="164" spans="1:3" ht="16.5" x14ac:dyDescent="0.35">
      <c r="A164" s="20"/>
      <c r="B164" s="20"/>
      <c r="C164" s="20"/>
    </row>
    <row r="165" spans="1:3" ht="16.5" x14ac:dyDescent="0.35">
      <c r="A165" s="20"/>
      <c r="B165" s="20"/>
      <c r="C165" s="20"/>
    </row>
    <row r="166" spans="1:3" ht="16.5" x14ac:dyDescent="0.35">
      <c r="A166" s="20"/>
      <c r="B166" s="20"/>
      <c r="C166" s="20"/>
    </row>
    <row r="167" spans="1:3" ht="16.5" x14ac:dyDescent="0.35">
      <c r="A167" s="20"/>
      <c r="B167" s="20"/>
      <c r="C167" s="20"/>
    </row>
    <row r="168" spans="1:3" ht="16.5" x14ac:dyDescent="0.35">
      <c r="A168" s="20"/>
      <c r="B168" s="20"/>
      <c r="C168" s="20"/>
    </row>
    <row r="169" spans="1:3" ht="16.5" x14ac:dyDescent="0.35">
      <c r="A169" s="20"/>
      <c r="B169" s="20"/>
      <c r="C169" s="20"/>
    </row>
    <row r="170" spans="1:3" ht="16.5" x14ac:dyDescent="0.35">
      <c r="A170" s="20"/>
      <c r="B170" s="20"/>
      <c r="C170" s="20"/>
    </row>
    <row r="171" spans="1:3" ht="16.5" x14ac:dyDescent="0.35">
      <c r="A171" s="20"/>
      <c r="B171" s="20"/>
      <c r="C171" s="20"/>
    </row>
    <row r="172" spans="1:3" ht="16.5" x14ac:dyDescent="0.35">
      <c r="A172" s="20"/>
      <c r="B172" s="20"/>
      <c r="C172" s="20"/>
    </row>
    <row r="173" spans="1:3" ht="16.5" x14ac:dyDescent="0.35">
      <c r="A173" s="20"/>
      <c r="B173" s="20"/>
      <c r="C173" s="20"/>
    </row>
    <row r="174" spans="1:3" ht="16.5" x14ac:dyDescent="0.35">
      <c r="A174" s="20"/>
      <c r="B174" s="20"/>
      <c r="C174" s="20"/>
    </row>
    <row r="175" spans="1:3" ht="16.5" x14ac:dyDescent="0.35">
      <c r="A175" s="20"/>
      <c r="B175" s="20"/>
      <c r="C175" s="20"/>
    </row>
    <row r="176" spans="1:3" ht="16.5" x14ac:dyDescent="0.35">
      <c r="A176" s="20"/>
      <c r="B176" s="20"/>
      <c r="C176" s="20"/>
    </row>
    <row r="177" spans="1:3" ht="16.5" x14ac:dyDescent="0.35">
      <c r="A177" s="20"/>
      <c r="B177" s="20"/>
      <c r="C177" s="20"/>
    </row>
    <row r="178" spans="1:3" ht="16.5" x14ac:dyDescent="0.35">
      <c r="A178" s="20"/>
      <c r="B178" s="20"/>
      <c r="C178" s="20"/>
    </row>
    <row r="179" spans="1:3" ht="16.5" x14ac:dyDescent="0.35">
      <c r="A179" s="20"/>
      <c r="B179" s="20"/>
      <c r="C179" s="20"/>
    </row>
    <row r="180" spans="1:3" ht="16.5" x14ac:dyDescent="0.35">
      <c r="A180" s="20"/>
      <c r="B180" s="20"/>
      <c r="C180" s="20"/>
    </row>
    <row r="181" spans="1:3" ht="16.5" x14ac:dyDescent="0.35">
      <c r="A181" s="20"/>
      <c r="B181" s="20"/>
      <c r="C181" s="20"/>
    </row>
    <row r="182" spans="1:3" ht="16.5" x14ac:dyDescent="0.35">
      <c r="A182" s="20"/>
      <c r="B182" s="20"/>
      <c r="C182" s="20"/>
    </row>
    <row r="183" spans="1:3" ht="16.5" x14ac:dyDescent="0.35">
      <c r="A183" s="20"/>
      <c r="B183" s="20"/>
      <c r="C183" s="20"/>
    </row>
    <row r="184" spans="1:3" ht="16.5" x14ac:dyDescent="0.35">
      <c r="A184" s="20"/>
      <c r="B184" s="20"/>
      <c r="C184" s="20"/>
    </row>
    <row r="185" spans="1:3" ht="16.5" x14ac:dyDescent="0.35">
      <c r="A185" s="20"/>
      <c r="B185" s="20"/>
      <c r="C185" s="20"/>
    </row>
    <row r="186" spans="1:3" ht="16.5" x14ac:dyDescent="0.35">
      <c r="A186" s="20"/>
      <c r="B186" s="20"/>
      <c r="C186" s="20"/>
    </row>
    <row r="187" spans="1:3" ht="16.5" x14ac:dyDescent="0.35">
      <c r="A187" s="20"/>
      <c r="B187" s="20"/>
      <c r="C187" s="20"/>
    </row>
    <row r="188" spans="1:3" ht="16.5" x14ac:dyDescent="0.35">
      <c r="A188" s="20"/>
      <c r="B188" s="20"/>
      <c r="C188" s="20"/>
    </row>
    <row r="189" spans="1:3" ht="16.5" x14ac:dyDescent="0.35">
      <c r="A189" s="20"/>
      <c r="B189" s="20"/>
      <c r="C189" s="20"/>
    </row>
    <row r="190" spans="1:3" ht="16.5" x14ac:dyDescent="0.35">
      <c r="A190" s="20"/>
      <c r="B190" s="20"/>
      <c r="C190" s="20"/>
    </row>
    <row r="191" spans="1:3" ht="16.5" x14ac:dyDescent="0.35">
      <c r="A191" s="20"/>
      <c r="B191" s="20"/>
      <c r="C191" s="20"/>
    </row>
    <row r="192" spans="1:3" ht="16.5" x14ac:dyDescent="0.35">
      <c r="A192" s="20"/>
      <c r="B192" s="20"/>
      <c r="C192" s="20"/>
    </row>
    <row r="193" spans="1:3" ht="16.5" x14ac:dyDescent="0.35">
      <c r="A193" s="20"/>
      <c r="B193" s="20"/>
      <c r="C193" s="20"/>
    </row>
    <row r="194" spans="1:3" ht="16.5" x14ac:dyDescent="0.35">
      <c r="A194" s="20"/>
      <c r="B194" s="20"/>
      <c r="C194" s="20"/>
    </row>
    <row r="195" spans="1:3" ht="16.5" x14ac:dyDescent="0.35">
      <c r="A195" s="20"/>
      <c r="B195" s="20"/>
      <c r="C195" s="20"/>
    </row>
    <row r="196" spans="1:3" ht="16.5" x14ac:dyDescent="0.35">
      <c r="A196" s="20"/>
      <c r="B196" s="20"/>
      <c r="C196" s="20"/>
    </row>
    <row r="197" spans="1:3" ht="16.5" x14ac:dyDescent="0.35">
      <c r="A197" s="20"/>
      <c r="B197" s="20"/>
      <c r="C197" s="20"/>
    </row>
    <row r="198" spans="1:3" ht="16.5" x14ac:dyDescent="0.35">
      <c r="A198" s="20"/>
      <c r="B198" s="20"/>
      <c r="C198" s="20"/>
    </row>
    <row r="199" spans="1:3" ht="16.5" x14ac:dyDescent="0.35">
      <c r="A199" s="20"/>
      <c r="B199" s="20"/>
      <c r="C199" s="20"/>
    </row>
    <row r="200" spans="1:3" ht="16.5" x14ac:dyDescent="0.35">
      <c r="A200" s="20"/>
      <c r="B200" s="20"/>
      <c r="C200" s="20"/>
    </row>
    <row r="201" spans="1:3" ht="16.5" x14ac:dyDescent="0.35">
      <c r="A201" s="20"/>
      <c r="B201" s="20"/>
      <c r="C201" s="20"/>
    </row>
    <row r="202" spans="1:3" ht="16.5" x14ac:dyDescent="0.35">
      <c r="A202" s="20"/>
      <c r="B202" s="20"/>
      <c r="C202" s="20"/>
    </row>
    <row r="203" spans="1:3" ht="16.5" x14ac:dyDescent="0.35">
      <c r="A203" s="20"/>
      <c r="B203" s="20"/>
      <c r="C203" s="20"/>
    </row>
    <row r="204" spans="1:3" ht="16.5" x14ac:dyDescent="0.35">
      <c r="A204" s="20"/>
      <c r="B204" s="20"/>
      <c r="C204" s="20"/>
    </row>
    <row r="205" spans="1:3" ht="16.5" x14ac:dyDescent="0.35">
      <c r="A205" s="20"/>
      <c r="B205" s="20"/>
      <c r="C205" s="20"/>
    </row>
    <row r="206" spans="1:3" ht="16.5" x14ac:dyDescent="0.35">
      <c r="A206" s="20"/>
      <c r="B206" s="20"/>
      <c r="C206" s="20"/>
    </row>
    <row r="207" spans="1:3" ht="16.5" x14ac:dyDescent="0.35">
      <c r="A207" s="20"/>
      <c r="B207" s="20"/>
      <c r="C207" s="20"/>
    </row>
    <row r="208" spans="1:3" ht="16.5" x14ac:dyDescent="0.35">
      <c r="A208" s="20"/>
      <c r="B208" s="20"/>
      <c r="C208" s="20"/>
    </row>
    <row r="209" spans="1:3" ht="16.5" x14ac:dyDescent="0.35">
      <c r="A209" s="20"/>
      <c r="B209" s="20"/>
      <c r="C209" s="20"/>
    </row>
    <row r="210" spans="1:3" ht="16.5" x14ac:dyDescent="0.35">
      <c r="A210" s="20"/>
      <c r="B210" s="20"/>
      <c r="C210" s="20"/>
    </row>
    <row r="211" spans="1:3" ht="16.5" x14ac:dyDescent="0.35">
      <c r="A211" s="20"/>
      <c r="B211" s="20"/>
      <c r="C211" s="20"/>
    </row>
    <row r="212" spans="1:3" ht="16.5" x14ac:dyDescent="0.35">
      <c r="A212" s="20"/>
      <c r="B212" s="20"/>
      <c r="C212" s="20"/>
    </row>
    <row r="213" spans="1:3" ht="16.5" x14ac:dyDescent="0.35">
      <c r="A213" s="20"/>
      <c r="B213" s="20"/>
      <c r="C213" s="20"/>
    </row>
    <row r="214" spans="1:3" ht="16.5" x14ac:dyDescent="0.35">
      <c r="A214" s="20"/>
      <c r="B214" s="20"/>
      <c r="C214" s="20"/>
    </row>
    <row r="215" spans="1:3" ht="16.5" x14ac:dyDescent="0.35">
      <c r="A215" s="20"/>
      <c r="B215" s="20"/>
      <c r="C215" s="20"/>
    </row>
    <row r="216" spans="1:3" ht="16.5" x14ac:dyDescent="0.35">
      <c r="A216" s="20"/>
      <c r="B216" s="20"/>
      <c r="C216" s="20"/>
    </row>
    <row r="217" spans="1:3" ht="16.5" x14ac:dyDescent="0.35">
      <c r="A217" s="20"/>
      <c r="B217" s="20"/>
      <c r="C217" s="20"/>
    </row>
    <row r="218" spans="1:3" ht="16.5" x14ac:dyDescent="0.35">
      <c r="A218" s="20"/>
      <c r="B218" s="20"/>
      <c r="C218" s="20"/>
    </row>
    <row r="219" spans="1:3" ht="16.5" x14ac:dyDescent="0.35">
      <c r="A219" s="20"/>
      <c r="B219" s="20"/>
      <c r="C219" s="20"/>
    </row>
    <row r="220" spans="1:3" ht="16.5" x14ac:dyDescent="0.35">
      <c r="A220" s="20"/>
      <c r="B220" s="20"/>
      <c r="C220" s="20"/>
    </row>
    <row r="221" spans="1:3" ht="16.5" x14ac:dyDescent="0.35">
      <c r="A221" s="20"/>
      <c r="B221" s="20"/>
      <c r="C221" s="20"/>
    </row>
    <row r="222" spans="1:3" ht="16.5" x14ac:dyDescent="0.35">
      <c r="A222" s="20"/>
      <c r="B222" s="20"/>
      <c r="C222" s="20"/>
    </row>
    <row r="223" spans="1:3" ht="16.5" x14ac:dyDescent="0.35">
      <c r="A223" s="20"/>
      <c r="B223" s="20"/>
      <c r="C223" s="20"/>
    </row>
    <row r="224" spans="1:3" ht="16.5" x14ac:dyDescent="0.35">
      <c r="A224" s="20"/>
      <c r="B224" s="20"/>
      <c r="C224" s="20"/>
    </row>
    <row r="225" spans="1:3" ht="16.5" x14ac:dyDescent="0.35">
      <c r="A225" s="20"/>
      <c r="B225" s="20"/>
      <c r="C225" s="20"/>
    </row>
    <row r="226" spans="1:3" ht="16.5" x14ac:dyDescent="0.35">
      <c r="A226" s="20"/>
      <c r="B226" s="20"/>
      <c r="C226" s="20"/>
    </row>
    <row r="227" spans="1:3" ht="16.5" x14ac:dyDescent="0.35">
      <c r="A227" s="20"/>
      <c r="B227" s="20"/>
      <c r="C227" s="20"/>
    </row>
    <row r="228" spans="1:3" ht="16.5" x14ac:dyDescent="0.35">
      <c r="A228" s="20"/>
      <c r="B228" s="20"/>
      <c r="C228" s="20"/>
    </row>
    <row r="229" spans="1:3" ht="16.5" x14ac:dyDescent="0.35">
      <c r="A229" s="20"/>
      <c r="B229" s="20"/>
      <c r="C229" s="20"/>
    </row>
    <row r="230" spans="1:3" ht="16.5" x14ac:dyDescent="0.35">
      <c r="A230" s="20"/>
      <c r="B230" s="20"/>
      <c r="C230" s="20"/>
    </row>
    <row r="231" spans="1:3" ht="16.5" x14ac:dyDescent="0.35">
      <c r="A231" s="20"/>
      <c r="B231" s="20"/>
      <c r="C231" s="20"/>
    </row>
    <row r="232" spans="1:3" ht="16.5" x14ac:dyDescent="0.35">
      <c r="A232" s="20"/>
      <c r="B232" s="20"/>
      <c r="C232" s="20"/>
    </row>
    <row r="233" spans="1:3" ht="16.5" x14ac:dyDescent="0.35">
      <c r="A233" s="20"/>
      <c r="B233" s="20"/>
      <c r="C233" s="20"/>
    </row>
    <row r="234" spans="1:3" ht="16.5" x14ac:dyDescent="0.35">
      <c r="A234" s="20"/>
      <c r="B234" s="20"/>
      <c r="C234" s="20"/>
    </row>
    <row r="235" spans="1:3" ht="16.5" x14ac:dyDescent="0.35">
      <c r="A235" s="20"/>
      <c r="B235" s="20"/>
      <c r="C235" s="20"/>
    </row>
    <row r="236" spans="1:3" ht="16.5" x14ac:dyDescent="0.35">
      <c r="A236" s="20"/>
      <c r="B236" s="20"/>
      <c r="C236" s="20"/>
    </row>
    <row r="237" spans="1:3" ht="16.5" x14ac:dyDescent="0.35">
      <c r="A237" s="20"/>
      <c r="B237" s="20"/>
      <c r="C237" s="20"/>
    </row>
    <row r="238" spans="1:3" ht="16.5" x14ac:dyDescent="0.35">
      <c r="A238" s="20"/>
      <c r="B238" s="20"/>
      <c r="C238" s="20"/>
    </row>
    <row r="239" spans="1:3" ht="16.5" x14ac:dyDescent="0.35">
      <c r="A239" s="20"/>
      <c r="B239" s="20"/>
      <c r="C239" s="20"/>
    </row>
    <row r="240" spans="1:3" ht="16.5" x14ac:dyDescent="0.35">
      <c r="A240" s="20"/>
      <c r="B240" s="20"/>
      <c r="C240" s="20"/>
    </row>
    <row r="241" spans="1:3" ht="16.5" x14ac:dyDescent="0.35">
      <c r="A241" s="20"/>
      <c r="B241" s="20"/>
      <c r="C241" s="20"/>
    </row>
    <row r="242" spans="1:3" ht="16.5" x14ac:dyDescent="0.35">
      <c r="A242" s="20"/>
      <c r="B242" s="20"/>
      <c r="C242" s="20"/>
    </row>
    <row r="243" spans="1:3" ht="16.5" x14ac:dyDescent="0.35">
      <c r="A243" s="20"/>
      <c r="B243" s="20"/>
      <c r="C243" s="20"/>
    </row>
    <row r="244" spans="1:3" ht="16.5" x14ac:dyDescent="0.35">
      <c r="A244" s="20"/>
      <c r="B244" s="20"/>
      <c r="C244" s="20"/>
    </row>
    <row r="245" spans="1:3" ht="16.5" x14ac:dyDescent="0.35">
      <c r="A245" s="20"/>
      <c r="B245" s="20"/>
      <c r="C245" s="20"/>
    </row>
    <row r="246" spans="1:3" ht="16.5" x14ac:dyDescent="0.35">
      <c r="A246" s="20"/>
      <c r="B246" s="20"/>
      <c r="C246" s="20"/>
    </row>
    <row r="247" spans="1:3" ht="16.5" x14ac:dyDescent="0.35">
      <c r="A247" s="20"/>
      <c r="B247" s="20"/>
      <c r="C247" s="20"/>
    </row>
    <row r="248" spans="1:3" ht="16.5" x14ac:dyDescent="0.35">
      <c r="A248" s="20"/>
      <c r="B248" s="20"/>
      <c r="C248" s="20"/>
    </row>
    <row r="249" spans="1:3" ht="16.5" x14ac:dyDescent="0.35">
      <c r="A249" s="20"/>
      <c r="B249" s="20"/>
      <c r="C249" s="20"/>
    </row>
    <row r="250" spans="1:3" ht="16.5" x14ac:dyDescent="0.35">
      <c r="A250" s="20"/>
      <c r="B250" s="20"/>
      <c r="C250" s="20"/>
    </row>
    <row r="251" spans="1:3" ht="16.5" x14ac:dyDescent="0.35">
      <c r="A251" s="20"/>
      <c r="B251" s="20"/>
      <c r="C251" s="20"/>
    </row>
    <row r="252" spans="1:3" ht="16.5" x14ac:dyDescent="0.35">
      <c r="A252" s="20"/>
      <c r="B252" s="20"/>
      <c r="C252" s="20"/>
    </row>
    <row r="253" spans="1:3" ht="16.5" x14ac:dyDescent="0.35">
      <c r="A253" s="20"/>
      <c r="B253" s="20"/>
      <c r="C253" s="20"/>
    </row>
    <row r="254" spans="1:3" ht="16.5" x14ac:dyDescent="0.35">
      <c r="A254" s="20"/>
      <c r="B254" s="20"/>
      <c r="C254" s="20"/>
    </row>
    <row r="255" spans="1:3" ht="16.5" x14ac:dyDescent="0.35">
      <c r="A255" s="20"/>
      <c r="B255" s="20"/>
      <c r="C255" s="20"/>
    </row>
    <row r="256" spans="1:3" ht="16.5" x14ac:dyDescent="0.35">
      <c r="A256" s="20"/>
      <c r="B256" s="20"/>
      <c r="C256" s="20"/>
    </row>
    <row r="257" spans="1:3" ht="16.5" x14ac:dyDescent="0.35">
      <c r="A257" s="20"/>
      <c r="B257" s="20"/>
      <c r="C257" s="20"/>
    </row>
    <row r="258" spans="1:3" ht="16.5" x14ac:dyDescent="0.35">
      <c r="A258" s="20"/>
      <c r="B258" s="20"/>
      <c r="C258" s="20"/>
    </row>
    <row r="259" spans="1:3" ht="16.5" x14ac:dyDescent="0.35">
      <c r="A259" s="20"/>
      <c r="B259" s="20"/>
      <c r="C259" s="20"/>
    </row>
    <row r="260" spans="1:3" ht="16.5" x14ac:dyDescent="0.35">
      <c r="A260" s="20"/>
      <c r="B260" s="20"/>
      <c r="C260" s="20"/>
    </row>
    <row r="261" spans="1:3" ht="16.5" x14ac:dyDescent="0.35">
      <c r="A261" s="20"/>
      <c r="B261" s="20"/>
      <c r="C261" s="20"/>
    </row>
    <row r="262" spans="1:3" ht="16.5" x14ac:dyDescent="0.35">
      <c r="A262" s="20"/>
      <c r="B262" s="20"/>
      <c r="C262" s="20"/>
    </row>
    <row r="263" spans="1:3" ht="16.5" x14ac:dyDescent="0.35">
      <c r="A263" s="20"/>
      <c r="B263" s="20"/>
      <c r="C263" s="20"/>
    </row>
    <row r="264" spans="1:3" ht="16.5" x14ac:dyDescent="0.35">
      <c r="A264" s="20"/>
      <c r="B264" s="20"/>
      <c r="C264" s="20"/>
    </row>
    <row r="265" spans="1:3" ht="16.5" x14ac:dyDescent="0.35">
      <c r="A265" s="20"/>
      <c r="B265" s="20"/>
      <c r="C265" s="20"/>
    </row>
    <row r="266" spans="1:3" ht="16.5" x14ac:dyDescent="0.35">
      <c r="A266" s="20"/>
      <c r="B266" s="20"/>
      <c r="C266" s="20"/>
    </row>
    <row r="267" spans="1:3" ht="16.5" x14ac:dyDescent="0.35">
      <c r="A267" s="20"/>
      <c r="B267" s="20"/>
      <c r="C267" s="20"/>
    </row>
    <row r="268" spans="1:3" ht="16.5" x14ac:dyDescent="0.35">
      <c r="A268" s="20"/>
      <c r="B268" s="20"/>
      <c r="C268" s="20"/>
    </row>
    <row r="269" spans="1:3" ht="16.5" x14ac:dyDescent="0.35">
      <c r="A269" s="20"/>
      <c r="B269" s="20"/>
      <c r="C269" s="20"/>
    </row>
    <row r="270" spans="1:3" ht="16.5" x14ac:dyDescent="0.35">
      <c r="A270" s="20"/>
      <c r="B270" s="20"/>
      <c r="C270" s="20"/>
    </row>
    <row r="271" spans="1:3" ht="16.5" x14ac:dyDescent="0.35">
      <c r="A271" s="20"/>
      <c r="B271" s="20"/>
      <c r="C271" s="20"/>
    </row>
    <row r="272" spans="1:3" ht="16.5" x14ac:dyDescent="0.35">
      <c r="A272" s="20"/>
      <c r="B272" s="20"/>
      <c r="C272" s="20"/>
    </row>
    <row r="273" spans="1:3" ht="16.5" x14ac:dyDescent="0.35">
      <c r="A273" s="20"/>
      <c r="B273" s="20"/>
      <c r="C273" s="20"/>
    </row>
    <row r="274" spans="1:3" ht="16.5" x14ac:dyDescent="0.35">
      <c r="A274" s="20"/>
      <c r="B274" s="20"/>
      <c r="C274" s="20"/>
    </row>
    <row r="275" spans="1:3" ht="16.5" x14ac:dyDescent="0.35">
      <c r="A275" s="20"/>
      <c r="B275" s="20"/>
      <c r="C275" s="20"/>
    </row>
    <row r="276" spans="1:3" ht="16.5" x14ac:dyDescent="0.35">
      <c r="A276" s="20"/>
      <c r="B276" s="20"/>
      <c r="C276" s="20"/>
    </row>
    <row r="277" spans="1:3" ht="16.5" x14ac:dyDescent="0.35">
      <c r="A277" s="20"/>
      <c r="B277" s="20"/>
      <c r="C277" s="20"/>
    </row>
    <row r="278" spans="1:3" ht="16.5" x14ac:dyDescent="0.35">
      <c r="A278" s="20"/>
      <c r="B278" s="20"/>
      <c r="C278" s="20"/>
    </row>
    <row r="279" spans="1:3" ht="16.5" x14ac:dyDescent="0.35">
      <c r="A279" s="20"/>
      <c r="B279" s="20"/>
      <c r="C279" s="20"/>
    </row>
    <row r="280" spans="1:3" ht="16.5" x14ac:dyDescent="0.35">
      <c r="A280" s="20"/>
      <c r="B280" s="20"/>
      <c r="C280" s="20"/>
    </row>
    <row r="281" spans="1:3" ht="16.5" x14ac:dyDescent="0.35">
      <c r="A281" s="20"/>
      <c r="B281" s="20"/>
      <c r="C281" s="20"/>
    </row>
    <row r="282" spans="1:3" ht="16.5" x14ac:dyDescent="0.35">
      <c r="A282" s="20"/>
      <c r="B282" s="20"/>
      <c r="C282" s="20"/>
    </row>
    <row r="283" spans="1:3" ht="16.5" x14ac:dyDescent="0.35">
      <c r="A283" s="20"/>
      <c r="B283" s="20"/>
      <c r="C283" s="20"/>
    </row>
    <row r="284" spans="1:3" ht="16.5" x14ac:dyDescent="0.35">
      <c r="A284" s="20"/>
      <c r="B284" s="20"/>
      <c r="C284" s="20"/>
    </row>
    <row r="285" spans="1:3" ht="16.5" x14ac:dyDescent="0.35">
      <c r="A285" s="20"/>
      <c r="B285" s="20"/>
      <c r="C285" s="20"/>
    </row>
    <row r="286" spans="1:3" ht="16.5" x14ac:dyDescent="0.35">
      <c r="A286" s="20"/>
      <c r="B286" s="20"/>
      <c r="C286" s="20"/>
    </row>
    <row r="287" spans="1:3" ht="16.5" x14ac:dyDescent="0.35">
      <c r="A287" s="20"/>
      <c r="B287" s="20"/>
      <c r="C287" s="20"/>
    </row>
    <row r="288" spans="1:3" ht="16.5" x14ac:dyDescent="0.35">
      <c r="A288" s="20"/>
      <c r="B288" s="20"/>
      <c r="C288" s="20"/>
    </row>
    <row r="289" spans="1:3" ht="16.5" x14ac:dyDescent="0.35">
      <c r="A289" s="20"/>
      <c r="B289" s="20"/>
      <c r="C289" s="20"/>
    </row>
    <row r="290" spans="1:3" ht="16.5" x14ac:dyDescent="0.35">
      <c r="A290" s="20"/>
      <c r="B290" s="20"/>
      <c r="C290" s="20"/>
    </row>
    <row r="291" spans="1:3" ht="16.5" x14ac:dyDescent="0.35">
      <c r="A291" s="20"/>
      <c r="B291" s="20"/>
      <c r="C291" s="20"/>
    </row>
    <row r="292" spans="1:3" ht="16.5" x14ac:dyDescent="0.35">
      <c r="A292" s="20"/>
      <c r="B292" s="20"/>
      <c r="C292" s="20"/>
    </row>
    <row r="293" spans="1:3" ht="16.5" x14ac:dyDescent="0.35">
      <c r="A293" s="20"/>
      <c r="B293" s="20"/>
      <c r="C293" s="20"/>
    </row>
    <row r="294" spans="1:3" ht="16.5" x14ac:dyDescent="0.35">
      <c r="A294" s="20"/>
      <c r="B294" s="20"/>
      <c r="C294" s="20"/>
    </row>
    <row r="295" spans="1:3" ht="16.5" x14ac:dyDescent="0.35">
      <c r="A295" s="20"/>
      <c r="B295" s="20"/>
      <c r="C295" s="20"/>
    </row>
    <row r="296" spans="1:3" ht="16.5" x14ac:dyDescent="0.35">
      <c r="A296" s="20"/>
      <c r="B296" s="20"/>
      <c r="C296" s="20"/>
    </row>
    <row r="297" spans="1:3" ht="16.5" x14ac:dyDescent="0.35">
      <c r="A297" s="20"/>
      <c r="B297" s="20"/>
      <c r="C297" s="20"/>
    </row>
    <row r="298" spans="1:3" ht="16.5" x14ac:dyDescent="0.35">
      <c r="A298" s="20"/>
      <c r="B298" s="20"/>
      <c r="C298" s="20"/>
    </row>
    <row r="299" spans="1:3" ht="16.5" x14ac:dyDescent="0.35">
      <c r="A299" s="20"/>
      <c r="B299" s="20"/>
      <c r="C299" s="20"/>
    </row>
    <row r="300" spans="1:3" ht="16.5" x14ac:dyDescent="0.35">
      <c r="A300" s="20"/>
      <c r="B300" s="20"/>
      <c r="C300" s="20"/>
    </row>
    <row r="301" spans="1:3" ht="16.5" x14ac:dyDescent="0.35">
      <c r="A301" s="20"/>
      <c r="B301" s="20"/>
      <c r="C301" s="20"/>
    </row>
    <row r="302" spans="1:3" ht="16.5" x14ac:dyDescent="0.35">
      <c r="A302" s="20"/>
      <c r="B302" s="20"/>
      <c r="C302" s="20"/>
    </row>
    <row r="303" spans="1:3" ht="16.5" x14ac:dyDescent="0.35">
      <c r="A303" s="20"/>
      <c r="B303" s="20"/>
      <c r="C303" s="20"/>
    </row>
    <row r="304" spans="1:3" ht="16.5" x14ac:dyDescent="0.35">
      <c r="A304" s="20"/>
      <c r="B304" s="20"/>
      <c r="C304" s="20"/>
    </row>
    <row r="305" spans="1:3" ht="16.5" x14ac:dyDescent="0.35">
      <c r="A305" s="20"/>
      <c r="B305" s="20"/>
      <c r="C305" s="20"/>
    </row>
    <row r="306" spans="1:3" ht="16.5" x14ac:dyDescent="0.35">
      <c r="A306" s="20"/>
      <c r="B306" s="20"/>
      <c r="C306" s="20"/>
    </row>
    <row r="307" spans="1:3" ht="16.5" x14ac:dyDescent="0.35">
      <c r="A307" s="20"/>
      <c r="B307" s="20"/>
      <c r="C307" s="20"/>
    </row>
    <row r="308" spans="1:3" ht="16.5" x14ac:dyDescent="0.35">
      <c r="A308" s="20"/>
      <c r="B308" s="20"/>
      <c r="C308" s="20"/>
    </row>
    <row r="309" spans="1:3" ht="16.5" x14ac:dyDescent="0.35">
      <c r="A309" s="20"/>
      <c r="B309" s="20"/>
      <c r="C309" s="20"/>
    </row>
    <row r="310" spans="1:3" ht="16.5" x14ac:dyDescent="0.35">
      <c r="A310" s="20"/>
      <c r="B310" s="20"/>
      <c r="C310" s="20"/>
    </row>
    <row r="311" spans="1:3" ht="16.5" x14ac:dyDescent="0.35">
      <c r="A311" s="20"/>
      <c r="B311" s="20"/>
      <c r="C311" s="20"/>
    </row>
    <row r="312" spans="1:3" ht="16.5" x14ac:dyDescent="0.35">
      <c r="A312" s="20"/>
      <c r="B312" s="20"/>
      <c r="C312" s="20"/>
    </row>
    <row r="313" spans="1:3" ht="16.5" x14ac:dyDescent="0.35">
      <c r="A313" s="20"/>
      <c r="B313" s="20"/>
      <c r="C313" s="20"/>
    </row>
    <row r="314" spans="1:3" ht="16.5" x14ac:dyDescent="0.35">
      <c r="A314" s="20"/>
      <c r="B314" s="20"/>
      <c r="C314" s="20"/>
    </row>
    <row r="315" spans="1:3" ht="16.5" x14ac:dyDescent="0.35">
      <c r="A315" s="20"/>
      <c r="B315" s="20"/>
      <c r="C315" s="20"/>
    </row>
    <row r="316" spans="1:3" ht="16.5" x14ac:dyDescent="0.35">
      <c r="A316" s="20"/>
      <c r="B316" s="20"/>
      <c r="C316" s="20"/>
    </row>
    <row r="317" spans="1:3" ht="16.5" x14ac:dyDescent="0.35">
      <c r="A317" s="20"/>
      <c r="B317" s="20"/>
      <c r="C317" s="20"/>
    </row>
    <row r="318" spans="1:3" ht="16.5" x14ac:dyDescent="0.35">
      <c r="A318" s="20"/>
      <c r="B318" s="20"/>
      <c r="C318" s="20"/>
    </row>
    <row r="319" spans="1:3" ht="16.5" x14ac:dyDescent="0.35">
      <c r="A319" s="20"/>
      <c r="B319" s="20"/>
      <c r="C319" s="20"/>
    </row>
    <row r="320" spans="1:3" ht="16.5" x14ac:dyDescent="0.35">
      <c r="A320" s="20"/>
      <c r="B320" s="20"/>
      <c r="C320" s="20"/>
    </row>
    <row r="321" spans="1:3" ht="16.5" x14ac:dyDescent="0.35">
      <c r="A321" s="20"/>
      <c r="B321" s="20"/>
      <c r="C321" s="20"/>
    </row>
    <row r="322" spans="1:3" ht="16.5" x14ac:dyDescent="0.35">
      <c r="A322" s="20"/>
      <c r="B322" s="20"/>
      <c r="C322" s="20"/>
    </row>
    <row r="323" spans="1:3" ht="16.5" x14ac:dyDescent="0.35">
      <c r="A323" s="20"/>
      <c r="B323" s="20"/>
      <c r="C323" s="20"/>
    </row>
    <row r="324" spans="1:3" ht="16.5" x14ac:dyDescent="0.35">
      <c r="A324" s="20"/>
      <c r="B324" s="20"/>
      <c r="C324" s="20"/>
    </row>
    <row r="325" spans="1:3" ht="16.5" x14ac:dyDescent="0.35">
      <c r="A325" s="20"/>
      <c r="B325" s="20"/>
      <c r="C325" s="20"/>
    </row>
    <row r="326" spans="1:3" ht="16.5" x14ac:dyDescent="0.35">
      <c r="A326" s="20"/>
      <c r="B326" s="20"/>
      <c r="C326" s="20"/>
    </row>
    <row r="327" spans="1:3" ht="16.5" x14ac:dyDescent="0.35">
      <c r="A327" s="20"/>
      <c r="B327" s="20"/>
      <c r="C327" s="20"/>
    </row>
    <row r="328" spans="1:3" ht="16.5" x14ac:dyDescent="0.35">
      <c r="A328" s="20"/>
      <c r="B328" s="20"/>
      <c r="C328" s="20"/>
    </row>
    <row r="329" spans="1:3" ht="16.5" x14ac:dyDescent="0.35">
      <c r="A329" s="20"/>
      <c r="B329" s="20"/>
      <c r="C329" s="20"/>
    </row>
    <row r="330" spans="1:3" ht="16.5" x14ac:dyDescent="0.35">
      <c r="A330" s="20"/>
      <c r="B330" s="20"/>
      <c r="C330" s="20"/>
    </row>
    <row r="331" spans="1:3" ht="16.5" x14ac:dyDescent="0.35">
      <c r="A331" s="20"/>
      <c r="B331" s="20"/>
      <c r="C331" s="20"/>
    </row>
    <row r="332" spans="1:3" ht="16.5" x14ac:dyDescent="0.35">
      <c r="A332" s="20"/>
      <c r="B332" s="20"/>
      <c r="C332" s="20"/>
    </row>
    <row r="333" spans="1:3" ht="16.5" x14ac:dyDescent="0.35">
      <c r="A333" s="20"/>
      <c r="B333" s="20"/>
      <c r="C333" s="20"/>
    </row>
    <row r="334" spans="1:3" ht="16.5" x14ac:dyDescent="0.35">
      <c r="A334" s="20"/>
      <c r="B334" s="20"/>
      <c r="C334" s="20"/>
    </row>
    <row r="335" spans="1:3" ht="16.5" x14ac:dyDescent="0.35">
      <c r="A335" s="20"/>
      <c r="B335" s="20"/>
      <c r="C335" s="20"/>
    </row>
    <row r="336" spans="1:3" ht="16.5" x14ac:dyDescent="0.35">
      <c r="A336" s="20"/>
      <c r="B336" s="20"/>
      <c r="C336" s="20"/>
    </row>
    <row r="337" spans="1:3" ht="16.5" x14ac:dyDescent="0.35">
      <c r="A337" s="20"/>
      <c r="B337" s="20"/>
      <c r="C337" s="20"/>
    </row>
    <row r="338" spans="1:3" ht="16.5" x14ac:dyDescent="0.35">
      <c r="A338" s="20"/>
      <c r="B338" s="20"/>
      <c r="C338" s="20"/>
    </row>
    <row r="339" spans="1:3" ht="16.5" x14ac:dyDescent="0.35">
      <c r="A339" s="20"/>
      <c r="B339" s="20"/>
      <c r="C339" s="20"/>
    </row>
    <row r="340" spans="1:3" ht="16.5" x14ac:dyDescent="0.35">
      <c r="A340" s="20"/>
      <c r="B340" s="20"/>
      <c r="C340" s="20"/>
    </row>
    <row r="341" spans="1:3" ht="16.5" x14ac:dyDescent="0.35">
      <c r="A341" s="20"/>
      <c r="B341" s="20"/>
      <c r="C341" s="20"/>
    </row>
    <row r="342" spans="1:3" ht="16.5" x14ac:dyDescent="0.35">
      <c r="A342" s="20"/>
      <c r="B342" s="20"/>
      <c r="C342" s="20"/>
    </row>
    <row r="343" spans="1:3" ht="16.5" x14ac:dyDescent="0.35">
      <c r="A343" s="20"/>
      <c r="B343" s="20"/>
      <c r="C343" s="20"/>
    </row>
    <row r="344" spans="1:3" ht="16.5" x14ac:dyDescent="0.35">
      <c r="A344" s="20"/>
      <c r="B344" s="20"/>
      <c r="C344" s="20"/>
    </row>
    <row r="345" spans="1:3" ht="16.5" x14ac:dyDescent="0.35">
      <c r="A345" s="20"/>
      <c r="B345" s="20"/>
      <c r="C345" s="20"/>
    </row>
    <row r="346" spans="1:3" ht="16.5" x14ac:dyDescent="0.35">
      <c r="A346" s="20"/>
      <c r="B346" s="20"/>
      <c r="C346" s="20"/>
    </row>
    <row r="347" spans="1:3" ht="16.5" x14ac:dyDescent="0.35">
      <c r="A347" s="20"/>
      <c r="B347" s="20"/>
      <c r="C347" s="20"/>
    </row>
    <row r="348" spans="1:3" ht="16.5" x14ac:dyDescent="0.35">
      <c r="A348" s="20"/>
      <c r="B348" s="20"/>
      <c r="C348" s="20"/>
    </row>
    <row r="349" spans="1:3" ht="16.5" x14ac:dyDescent="0.35">
      <c r="A349" s="20"/>
      <c r="B349" s="20"/>
      <c r="C349" s="20"/>
    </row>
    <row r="350" spans="1:3" ht="16.5" x14ac:dyDescent="0.35">
      <c r="A350" s="20"/>
      <c r="B350" s="20"/>
      <c r="C350" s="20"/>
    </row>
    <row r="351" spans="1:3" ht="16.5" x14ac:dyDescent="0.35">
      <c r="A351" s="20"/>
      <c r="B351" s="20"/>
      <c r="C351" s="20"/>
    </row>
    <row r="352" spans="1:3" ht="16.5" x14ac:dyDescent="0.35">
      <c r="A352" s="20"/>
      <c r="B352" s="20"/>
      <c r="C352" s="20"/>
    </row>
    <row r="353" spans="1:3" ht="16.5" x14ac:dyDescent="0.35">
      <c r="A353" s="20"/>
      <c r="B353" s="20"/>
      <c r="C353" s="20"/>
    </row>
    <row r="354" spans="1:3" ht="16.5" x14ac:dyDescent="0.35">
      <c r="A354" s="20"/>
      <c r="B354" s="20"/>
      <c r="C354" s="20"/>
    </row>
    <row r="355" spans="1:3" ht="16.5" x14ac:dyDescent="0.35">
      <c r="A355" s="20"/>
      <c r="B355" s="20"/>
      <c r="C355" s="20"/>
    </row>
    <row r="356" spans="1:3" ht="16.5" x14ac:dyDescent="0.35">
      <c r="A356" s="20"/>
      <c r="B356" s="20"/>
      <c r="C356" s="20"/>
    </row>
    <row r="357" spans="1:3" ht="16.5" x14ac:dyDescent="0.35">
      <c r="A357" s="20"/>
      <c r="B357" s="20"/>
      <c r="C357" s="20"/>
    </row>
    <row r="358" spans="1:3" ht="16.5" x14ac:dyDescent="0.35">
      <c r="A358" s="20"/>
      <c r="B358" s="20"/>
      <c r="C358" s="20"/>
    </row>
    <row r="359" spans="1:3" ht="16.5" x14ac:dyDescent="0.35">
      <c r="A359" s="20"/>
      <c r="B359" s="20"/>
      <c r="C359" s="20"/>
    </row>
    <row r="360" spans="1:3" ht="16.5" x14ac:dyDescent="0.35">
      <c r="A360" s="20"/>
      <c r="B360" s="20"/>
      <c r="C360" s="20"/>
    </row>
    <row r="361" spans="1:3" ht="16.5" x14ac:dyDescent="0.35">
      <c r="A361" s="20"/>
      <c r="B361" s="20"/>
      <c r="C361" s="20"/>
    </row>
    <row r="362" spans="1:3" ht="16.5" x14ac:dyDescent="0.35">
      <c r="A362" s="20"/>
      <c r="B362" s="20"/>
      <c r="C362" s="20"/>
    </row>
    <row r="363" spans="1:3" ht="16.5" x14ac:dyDescent="0.35">
      <c r="A363" s="20"/>
      <c r="B363" s="20"/>
      <c r="C363" s="20"/>
    </row>
    <row r="364" spans="1:3" ht="16.5" x14ac:dyDescent="0.35">
      <c r="A364" s="20"/>
      <c r="B364" s="20"/>
      <c r="C364" s="20"/>
    </row>
    <row r="365" spans="1:3" ht="16.5" x14ac:dyDescent="0.35">
      <c r="A365" s="20"/>
      <c r="B365" s="20"/>
      <c r="C365" s="20"/>
    </row>
    <row r="366" spans="1:3" ht="16.5" x14ac:dyDescent="0.35">
      <c r="A366" s="20"/>
      <c r="B366" s="20"/>
      <c r="C366" s="20"/>
    </row>
    <row r="367" spans="1:3" ht="16.5" x14ac:dyDescent="0.35">
      <c r="A367" s="20"/>
      <c r="B367" s="20"/>
      <c r="C367" s="20"/>
    </row>
    <row r="368" spans="1:3" ht="16.5" x14ac:dyDescent="0.35">
      <c r="A368" s="20"/>
      <c r="B368" s="20"/>
      <c r="C368" s="20"/>
    </row>
    <row r="369" spans="1:3" ht="16.5" x14ac:dyDescent="0.35">
      <c r="A369" s="20"/>
      <c r="B369" s="20"/>
      <c r="C369" s="20"/>
    </row>
    <row r="370" spans="1:3" ht="16.5" x14ac:dyDescent="0.35">
      <c r="A370" s="20"/>
      <c r="B370" s="20"/>
      <c r="C370" s="20"/>
    </row>
    <row r="371" spans="1:3" ht="16.5" x14ac:dyDescent="0.35">
      <c r="A371" s="20"/>
      <c r="B371" s="20"/>
      <c r="C371" s="20"/>
    </row>
    <row r="372" spans="1:3" ht="16.5" x14ac:dyDescent="0.35">
      <c r="A372" s="20"/>
      <c r="B372" s="20"/>
      <c r="C372" s="20"/>
    </row>
    <row r="373" spans="1:3" ht="16.5" x14ac:dyDescent="0.35">
      <c r="A373" s="20"/>
      <c r="B373" s="20"/>
      <c r="C373" s="20"/>
    </row>
    <row r="374" spans="1:3" ht="16.5" x14ac:dyDescent="0.35">
      <c r="A374" s="20"/>
      <c r="B374" s="20"/>
      <c r="C374" s="20"/>
    </row>
    <row r="375" spans="1:3" ht="16.5" x14ac:dyDescent="0.35">
      <c r="A375" s="20"/>
      <c r="B375" s="20"/>
      <c r="C375" s="20"/>
    </row>
    <row r="376" spans="1:3" ht="16.5" x14ac:dyDescent="0.35">
      <c r="A376" s="20"/>
      <c r="B376" s="20"/>
      <c r="C376" s="20"/>
    </row>
    <row r="377" spans="1:3" ht="16.5" x14ac:dyDescent="0.35">
      <c r="A377" s="20"/>
      <c r="B377" s="20"/>
      <c r="C377" s="20"/>
    </row>
    <row r="378" spans="1:3" ht="16.5" x14ac:dyDescent="0.35">
      <c r="A378" s="20"/>
      <c r="B378" s="20"/>
      <c r="C378" s="20"/>
    </row>
    <row r="379" spans="1:3" ht="16.5" x14ac:dyDescent="0.35">
      <c r="A379" s="20"/>
      <c r="B379" s="20"/>
      <c r="C379" s="20"/>
    </row>
    <row r="380" spans="1:3" ht="16.5" x14ac:dyDescent="0.35">
      <c r="A380" s="20"/>
      <c r="B380" s="20"/>
      <c r="C380" s="20"/>
    </row>
    <row r="381" spans="1:3" ht="16.5" x14ac:dyDescent="0.35">
      <c r="A381" s="20"/>
      <c r="B381" s="20"/>
      <c r="C381" s="20"/>
    </row>
    <row r="382" spans="1:3" ht="16.5" x14ac:dyDescent="0.35">
      <c r="A382" s="20"/>
      <c r="B382" s="20"/>
      <c r="C382" s="20"/>
    </row>
    <row r="383" spans="1:3" ht="16.5" x14ac:dyDescent="0.35">
      <c r="A383" s="20"/>
      <c r="B383" s="20"/>
      <c r="C383" s="20"/>
    </row>
    <row r="384" spans="1:3" ht="16.5" x14ac:dyDescent="0.35">
      <c r="A384" s="20"/>
      <c r="B384" s="20"/>
      <c r="C384" s="20"/>
    </row>
    <row r="385" spans="1:3" ht="16.5" x14ac:dyDescent="0.35">
      <c r="A385" s="20"/>
      <c r="B385" s="20"/>
      <c r="C385" s="20"/>
    </row>
    <row r="386" spans="1:3" ht="16.5" x14ac:dyDescent="0.35">
      <c r="A386" s="20"/>
      <c r="B386" s="20"/>
      <c r="C386" s="20"/>
    </row>
    <row r="387" spans="1:3" ht="16.5" x14ac:dyDescent="0.35">
      <c r="A387" s="20"/>
      <c r="B387" s="20"/>
      <c r="C387" s="20"/>
    </row>
    <row r="388" spans="1:3" ht="16.5" x14ac:dyDescent="0.35">
      <c r="A388" s="20"/>
      <c r="B388" s="20"/>
      <c r="C388" s="20"/>
    </row>
    <row r="389" spans="1:3" ht="16.5" x14ac:dyDescent="0.35">
      <c r="A389" s="20"/>
      <c r="B389" s="20"/>
      <c r="C389" s="20"/>
    </row>
    <row r="390" spans="1:3" ht="16.5" x14ac:dyDescent="0.35">
      <c r="A390" s="20"/>
      <c r="B390" s="20"/>
      <c r="C390" s="20"/>
    </row>
    <row r="391" spans="1:3" ht="16.5" x14ac:dyDescent="0.35">
      <c r="A391" s="20"/>
      <c r="B391" s="20"/>
      <c r="C391" s="20"/>
    </row>
    <row r="392" spans="1:3" ht="16.5" x14ac:dyDescent="0.35">
      <c r="A392" s="20"/>
      <c r="B392" s="20"/>
      <c r="C392" s="20"/>
    </row>
    <row r="393" spans="1:3" ht="16.5" x14ac:dyDescent="0.35">
      <c r="A393" s="20"/>
      <c r="B393" s="20"/>
      <c r="C393" s="20"/>
    </row>
    <row r="394" spans="1:3" ht="16.5" x14ac:dyDescent="0.35">
      <c r="A394" s="20"/>
      <c r="B394" s="20"/>
      <c r="C394" s="20"/>
    </row>
    <row r="395" spans="1:3" ht="16.5" x14ac:dyDescent="0.35">
      <c r="A395" s="20"/>
      <c r="B395" s="20"/>
      <c r="C395" s="20"/>
    </row>
    <row r="396" spans="1:3" ht="16.5" x14ac:dyDescent="0.35">
      <c r="A396" s="20"/>
      <c r="B396" s="20"/>
      <c r="C396" s="20"/>
    </row>
    <row r="397" spans="1:3" ht="16.5" x14ac:dyDescent="0.35">
      <c r="A397" s="20"/>
      <c r="B397" s="20"/>
      <c r="C397" s="20"/>
    </row>
    <row r="398" spans="1:3" ht="16.5" x14ac:dyDescent="0.35">
      <c r="A398" s="20"/>
      <c r="B398" s="20"/>
      <c r="C398" s="20"/>
    </row>
    <row r="399" spans="1:3" ht="16.5" x14ac:dyDescent="0.35">
      <c r="A399" s="20"/>
      <c r="B399" s="20"/>
      <c r="C399" s="20"/>
    </row>
    <row r="400" spans="1:3" ht="16.5" x14ac:dyDescent="0.35">
      <c r="A400" s="20"/>
      <c r="B400" s="20"/>
      <c r="C400" s="20"/>
    </row>
    <row r="401" spans="1:3" ht="16.5" x14ac:dyDescent="0.35">
      <c r="A401" s="20"/>
      <c r="B401" s="20"/>
      <c r="C401" s="20"/>
    </row>
    <row r="402" spans="1:3" ht="16.5" x14ac:dyDescent="0.35">
      <c r="A402" s="20"/>
      <c r="B402" s="20"/>
      <c r="C402" s="20"/>
    </row>
    <row r="403" spans="1:3" ht="16.5" x14ac:dyDescent="0.35">
      <c r="A403" s="20"/>
      <c r="B403" s="20"/>
      <c r="C403" s="20"/>
    </row>
    <row r="404" spans="1:3" ht="16.5" x14ac:dyDescent="0.35">
      <c r="A404" s="20"/>
      <c r="B404" s="20"/>
      <c r="C404" s="20"/>
    </row>
    <row r="405" spans="1:3" ht="16.5" x14ac:dyDescent="0.35">
      <c r="A405" s="20"/>
      <c r="B405" s="20"/>
      <c r="C405" s="20"/>
    </row>
    <row r="406" spans="1:3" ht="16.5" x14ac:dyDescent="0.35">
      <c r="A406" s="20"/>
      <c r="B406" s="20"/>
      <c r="C406" s="20"/>
    </row>
    <row r="407" spans="1:3" ht="16.5" x14ac:dyDescent="0.35">
      <c r="A407" s="20"/>
      <c r="B407" s="20"/>
      <c r="C407" s="20"/>
    </row>
    <row r="408" spans="1:3" ht="16.5" x14ac:dyDescent="0.35">
      <c r="A408" s="20"/>
      <c r="B408" s="20"/>
      <c r="C408" s="20"/>
    </row>
    <row r="409" spans="1:3" ht="16.5" x14ac:dyDescent="0.35">
      <c r="A409" s="20"/>
      <c r="B409" s="20"/>
      <c r="C409" s="20"/>
    </row>
    <row r="410" spans="1:3" ht="16.5" x14ac:dyDescent="0.35">
      <c r="A410" s="20"/>
      <c r="B410" s="20"/>
      <c r="C410" s="20"/>
    </row>
    <row r="411" spans="1:3" ht="16.5" x14ac:dyDescent="0.35">
      <c r="A411" s="20"/>
      <c r="B411" s="20"/>
      <c r="C411" s="20"/>
    </row>
    <row r="412" spans="1:3" ht="16.5" x14ac:dyDescent="0.35">
      <c r="A412" s="20"/>
      <c r="B412" s="20"/>
      <c r="C412" s="20"/>
    </row>
    <row r="413" spans="1:3" ht="16.5" x14ac:dyDescent="0.35">
      <c r="A413" s="20"/>
      <c r="B413" s="20"/>
      <c r="C413" s="20"/>
    </row>
    <row r="414" spans="1:3" ht="16.5" x14ac:dyDescent="0.35">
      <c r="A414" s="20"/>
      <c r="B414" s="20"/>
      <c r="C414" s="20"/>
    </row>
    <row r="415" spans="1:3" ht="16.5" x14ac:dyDescent="0.35">
      <c r="A415" s="20"/>
      <c r="B415" s="20"/>
      <c r="C415" s="20"/>
    </row>
    <row r="416" spans="1:3" ht="16.5" x14ac:dyDescent="0.35">
      <c r="A416" s="20"/>
      <c r="B416" s="20"/>
      <c r="C416" s="20"/>
    </row>
    <row r="417" spans="1:3" ht="16.5" x14ac:dyDescent="0.35">
      <c r="A417" s="20"/>
      <c r="B417" s="20"/>
      <c r="C417" s="20"/>
    </row>
    <row r="418" spans="1:3" ht="16.5" x14ac:dyDescent="0.35">
      <c r="A418" s="20"/>
      <c r="B418" s="20"/>
      <c r="C418" s="20"/>
    </row>
    <row r="419" spans="1:3" ht="16.5" x14ac:dyDescent="0.35">
      <c r="A419" s="20"/>
      <c r="B419" s="20"/>
      <c r="C419" s="20"/>
    </row>
    <row r="420" spans="1:3" ht="16.5" x14ac:dyDescent="0.35">
      <c r="A420" s="20"/>
      <c r="B420" s="20"/>
      <c r="C420" s="20"/>
    </row>
    <row r="421" spans="1:3" ht="16.5" x14ac:dyDescent="0.35">
      <c r="A421" s="20"/>
      <c r="B421" s="20"/>
      <c r="C421" s="20"/>
    </row>
    <row r="422" spans="1:3" ht="16.5" x14ac:dyDescent="0.35">
      <c r="A422" s="20"/>
      <c r="B422" s="20"/>
      <c r="C422" s="20"/>
    </row>
    <row r="423" spans="1:3" ht="16.5" x14ac:dyDescent="0.35">
      <c r="A423" s="20"/>
      <c r="B423" s="20"/>
      <c r="C423" s="20"/>
    </row>
    <row r="424" spans="1:3" ht="16.5" x14ac:dyDescent="0.35">
      <c r="A424" s="20"/>
      <c r="B424" s="20"/>
      <c r="C424" s="20"/>
    </row>
    <row r="425" spans="1:3" ht="16.5" x14ac:dyDescent="0.35">
      <c r="A425" s="20"/>
      <c r="B425" s="20"/>
      <c r="C425" s="20"/>
    </row>
    <row r="426" spans="1:3" ht="16.5" x14ac:dyDescent="0.35">
      <c r="A426" s="20"/>
      <c r="B426" s="20"/>
      <c r="C426" s="20"/>
    </row>
    <row r="427" spans="1:3" ht="16.5" x14ac:dyDescent="0.35">
      <c r="A427" s="20"/>
      <c r="B427" s="20"/>
      <c r="C427" s="20"/>
    </row>
    <row r="428" spans="1:3" ht="16.5" x14ac:dyDescent="0.35">
      <c r="A428" s="20"/>
      <c r="B428" s="20"/>
      <c r="C428" s="20"/>
    </row>
    <row r="429" spans="1:3" ht="16.5" x14ac:dyDescent="0.35">
      <c r="A429" s="20"/>
      <c r="B429" s="20"/>
      <c r="C429" s="20"/>
    </row>
    <row r="430" spans="1:3" ht="16.5" x14ac:dyDescent="0.35">
      <c r="A430" s="20"/>
      <c r="B430" s="20"/>
      <c r="C430" s="20"/>
    </row>
    <row r="431" spans="1:3" ht="16.5" x14ac:dyDescent="0.35">
      <c r="A431" s="20"/>
      <c r="B431" s="20"/>
      <c r="C431" s="20"/>
    </row>
    <row r="432" spans="1:3" ht="16.5" x14ac:dyDescent="0.35">
      <c r="A432" s="20"/>
      <c r="B432" s="20"/>
      <c r="C432" s="20"/>
    </row>
    <row r="433" spans="1:3" ht="16.5" x14ac:dyDescent="0.35">
      <c r="A433" s="20"/>
      <c r="B433" s="20"/>
      <c r="C433" s="20"/>
    </row>
    <row r="434" spans="1:3" ht="16.5" x14ac:dyDescent="0.35">
      <c r="A434" s="20"/>
      <c r="B434" s="20"/>
      <c r="C434" s="20"/>
    </row>
    <row r="435" spans="1:3" ht="16.5" x14ac:dyDescent="0.35">
      <c r="A435" s="20"/>
      <c r="B435" s="20"/>
      <c r="C435" s="20"/>
    </row>
    <row r="436" spans="1:3" ht="16.5" x14ac:dyDescent="0.35">
      <c r="A436" s="20"/>
      <c r="B436" s="20"/>
      <c r="C436" s="20"/>
    </row>
    <row r="437" spans="1:3" ht="16.5" x14ac:dyDescent="0.35">
      <c r="A437" s="20"/>
      <c r="B437" s="20"/>
      <c r="C437" s="20"/>
    </row>
    <row r="438" spans="1:3" ht="16.5" x14ac:dyDescent="0.35">
      <c r="A438" s="20"/>
      <c r="B438" s="20"/>
      <c r="C438" s="20"/>
    </row>
    <row r="439" spans="1:3" ht="16.5" x14ac:dyDescent="0.35">
      <c r="A439" s="20"/>
      <c r="B439" s="20"/>
      <c r="C439" s="20"/>
    </row>
    <row r="440" spans="1:3" ht="16.5" x14ac:dyDescent="0.35">
      <c r="A440" s="20"/>
      <c r="B440" s="20"/>
      <c r="C440" s="20"/>
    </row>
    <row r="441" spans="1:3" ht="16.5" x14ac:dyDescent="0.35">
      <c r="A441" s="20"/>
      <c r="B441" s="20"/>
      <c r="C441" s="20"/>
    </row>
    <row r="442" spans="1:3" ht="16.5" x14ac:dyDescent="0.35">
      <c r="A442" s="20"/>
      <c r="B442" s="20"/>
      <c r="C442" s="20"/>
    </row>
    <row r="443" spans="1:3" ht="16.5" x14ac:dyDescent="0.35">
      <c r="A443" s="20"/>
      <c r="B443" s="20"/>
      <c r="C443" s="20"/>
    </row>
    <row r="444" spans="1:3" ht="16.5" x14ac:dyDescent="0.35">
      <c r="A444" s="20"/>
      <c r="B444" s="20"/>
      <c r="C444" s="20"/>
    </row>
    <row r="445" spans="1:3" ht="16.5" x14ac:dyDescent="0.35">
      <c r="A445" s="20"/>
      <c r="B445" s="20"/>
      <c r="C445" s="20"/>
    </row>
    <row r="446" spans="1:3" ht="16.5" x14ac:dyDescent="0.35">
      <c r="A446" s="20"/>
      <c r="B446" s="20"/>
      <c r="C446" s="20"/>
    </row>
    <row r="447" spans="1:3" ht="16.5" x14ac:dyDescent="0.35">
      <c r="A447" s="20"/>
      <c r="B447" s="20"/>
      <c r="C447" s="20"/>
    </row>
    <row r="448" spans="1:3" ht="16.5" x14ac:dyDescent="0.35">
      <c r="A448" s="20"/>
      <c r="B448" s="20"/>
      <c r="C448" s="20"/>
    </row>
    <row r="449" spans="1:3" ht="16.5" x14ac:dyDescent="0.35">
      <c r="A449" s="20"/>
      <c r="B449" s="20"/>
      <c r="C449" s="20"/>
    </row>
    <row r="450" spans="1:3" ht="16.5" x14ac:dyDescent="0.35">
      <c r="A450" s="20"/>
      <c r="B450" s="20"/>
      <c r="C450" s="20"/>
    </row>
    <row r="451" spans="1:3" ht="16.5" x14ac:dyDescent="0.35">
      <c r="A451" s="20"/>
      <c r="B451" s="20"/>
      <c r="C451" s="20"/>
    </row>
    <row r="452" spans="1:3" ht="16.5" x14ac:dyDescent="0.35">
      <c r="A452" s="20"/>
      <c r="B452" s="20"/>
      <c r="C452" s="20"/>
    </row>
    <row r="453" spans="1:3" ht="16.5" x14ac:dyDescent="0.35">
      <c r="A453" s="20"/>
      <c r="B453" s="20"/>
      <c r="C453" s="20"/>
    </row>
    <row r="454" spans="1:3" ht="16.5" x14ac:dyDescent="0.35">
      <c r="A454" s="20"/>
      <c r="B454" s="20"/>
      <c r="C454" s="20"/>
    </row>
    <row r="455" spans="1:3" ht="16.5" x14ac:dyDescent="0.35">
      <c r="A455" s="20"/>
      <c r="B455" s="20"/>
      <c r="C455" s="20"/>
    </row>
    <row r="456" spans="1:3" ht="16.5" x14ac:dyDescent="0.35">
      <c r="A456" s="20"/>
      <c r="B456" s="20"/>
      <c r="C456" s="20"/>
    </row>
    <row r="457" spans="1:3" ht="16.5" x14ac:dyDescent="0.35">
      <c r="A457" s="20"/>
      <c r="B457" s="20"/>
      <c r="C457" s="20"/>
    </row>
    <row r="458" spans="1:3" ht="16.5" x14ac:dyDescent="0.35">
      <c r="A458" s="20"/>
      <c r="B458" s="20"/>
      <c r="C458" s="20"/>
    </row>
    <row r="459" spans="1:3" ht="16.5" x14ac:dyDescent="0.35">
      <c r="A459" s="20"/>
      <c r="B459" s="20"/>
      <c r="C459" s="20"/>
    </row>
    <row r="460" spans="1:3" ht="16.5" x14ac:dyDescent="0.35">
      <c r="A460" s="20"/>
      <c r="B460" s="20"/>
      <c r="C460" s="20"/>
    </row>
    <row r="461" spans="1:3" ht="16.5" x14ac:dyDescent="0.35">
      <c r="A461" s="20"/>
      <c r="B461" s="20"/>
      <c r="C461" s="20"/>
    </row>
    <row r="462" spans="1:3" ht="16.5" x14ac:dyDescent="0.35">
      <c r="A462" s="20"/>
      <c r="B462" s="20"/>
      <c r="C462" s="20"/>
    </row>
    <row r="463" spans="1:3" ht="16.5" x14ac:dyDescent="0.35">
      <c r="A463" s="20"/>
      <c r="B463" s="20"/>
      <c r="C463" s="20"/>
    </row>
    <row r="464" spans="1:3" ht="16.5" x14ac:dyDescent="0.35">
      <c r="A464" s="20"/>
      <c r="B464" s="20"/>
      <c r="C464" s="20"/>
    </row>
    <row r="465" spans="1:3" ht="16.5" x14ac:dyDescent="0.35">
      <c r="A465" s="20"/>
      <c r="B465" s="20"/>
      <c r="C465" s="20"/>
    </row>
    <row r="466" spans="1:3" ht="16.5" x14ac:dyDescent="0.35">
      <c r="A466" s="20"/>
      <c r="B466" s="20"/>
      <c r="C466" s="20"/>
    </row>
    <row r="467" spans="1:3" ht="16.5" x14ac:dyDescent="0.35">
      <c r="A467" s="20"/>
      <c r="B467" s="20"/>
      <c r="C467" s="20"/>
    </row>
    <row r="468" spans="1:3" ht="16.5" x14ac:dyDescent="0.35">
      <c r="A468" s="20"/>
      <c r="B468" s="20"/>
      <c r="C468" s="20"/>
    </row>
    <row r="469" spans="1:3" ht="16.5" x14ac:dyDescent="0.35">
      <c r="A469" s="20"/>
      <c r="B469" s="20"/>
      <c r="C469" s="20"/>
    </row>
    <row r="470" spans="1:3" ht="16.5" x14ac:dyDescent="0.35">
      <c r="A470" s="20"/>
      <c r="B470" s="20"/>
      <c r="C470" s="20"/>
    </row>
    <row r="471" spans="1:3" ht="16.5" x14ac:dyDescent="0.35">
      <c r="A471" s="20"/>
      <c r="B471" s="20"/>
      <c r="C471" s="20"/>
    </row>
    <row r="472" spans="1:3" ht="16.5" x14ac:dyDescent="0.35">
      <c r="A472" s="20"/>
      <c r="B472" s="20"/>
      <c r="C472" s="20"/>
    </row>
    <row r="473" spans="1:3" ht="16.5" x14ac:dyDescent="0.35">
      <c r="A473" s="20"/>
      <c r="B473" s="20"/>
      <c r="C473" s="20"/>
    </row>
    <row r="474" spans="1:3" ht="16.5" x14ac:dyDescent="0.35">
      <c r="A474" s="20"/>
      <c r="B474" s="20"/>
      <c r="C474" s="20"/>
    </row>
    <row r="475" spans="1:3" ht="16.5" x14ac:dyDescent="0.35">
      <c r="A475" s="20"/>
      <c r="B475" s="20"/>
      <c r="C475" s="20"/>
    </row>
    <row r="476" spans="1:3" ht="16.5" x14ac:dyDescent="0.35">
      <c r="A476" s="20"/>
      <c r="B476" s="20"/>
      <c r="C476" s="20"/>
    </row>
    <row r="477" spans="1:3" ht="16.5" x14ac:dyDescent="0.35">
      <c r="A477" s="20"/>
      <c r="B477" s="20"/>
      <c r="C477" s="20"/>
    </row>
    <row r="478" spans="1:3" ht="16.5" x14ac:dyDescent="0.35">
      <c r="A478" s="20"/>
      <c r="B478" s="20"/>
      <c r="C478" s="20"/>
    </row>
    <row r="479" spans="1:3" ht="16.5" x14ac:dyDescent="0.35">
      <c r="A479" s="20"/>
      <c r="B479" s="20"/>
      <c r="C479" s="20"/>
    </row>
    <row r="480" spans="1:3" ht="16.5" x14ac:dyDescent="0.35">
      <c r="A480" s="20"/>
      <c r="B480" s="20"/>
      <c r="C480" s="20"/>
    </row>
    <row r="481" spans="1:3" ht="16.5" x14ac:dyDescent="0.35">
      <c r="A481" s="20"/>
      <c r="B481" s="20"/>
      <c r="C481" s="20"/>
    </row>
    <row r="482" spans="1:3" ht="16.5" x14ac:dyDescent="0.35">
      <c r="A482" s="20"/>
      <c r="B482" s="20"/>
      <c r="C482" s="20"/>
    </row>
    <row r="483" spans="1:3" ht="16.5" x14ac:dyDescent="0.35">
      <c r="A483" s="20"/>
      <c r="B483" s="20"/>
      <c r="C483" s="20"/>
    </row>
    <row r="484" spans="1:3" ht="16.5" x14ac:dyDescent="0.35">
      <c r="A484" s="20"/>
      <c r="B484" s="20"/>
      <c r="C484" s="20"/>
    </row>
    <row r="485" spans="1:3" ht="16.5" x14ac:dyDescent="0.35">
      <c r="A485" s="20"/>
      <c r="B485" s="20"/>
      <c r="C485" s="20"/>
    </row>
    <row r="486" spans="1:3" ht="16.5" x14ac:dyDescent="0.35">
      <c r="A486" s="20"/>
      <c r="B486" s="20"/>
      <c r="C486" s="20"/>
    </row>
    <row r="487" spans="1:3" ht="16.5" x14ac:dyDescent="0.35">
      <c r="A487" s="20"/>
      <c r="B487" s="20"/>
      <c r="C487" s="20"/>
    </row>
    <row r="488" spans="1:3" ht="16.5" x14ac:dyDescent="0.35">
      <c r="A488" s="20"/>
      <c r="B488" s="20"/>
      <c r="C488" s="20"/>
    </row>
    <row r="489" spans="1:3" ht="16.5" x14ac:dyDescent="0.35">
      <c r="A489" s="20"/>
      <c r="B489" s="20"/>
      <c r="C489" s="20"/>
    </row>
    <row r="490" spans="1:3" ht="16.5" x14ac:dyDescent="0.35">
      <c r="A490" s="20"/>
      <c r="B490" s="20"/>
      <c r="C490" s="20"/>
    </row>
    <row r="491" spans="1:3" ht="16.5" x14ac:dyDescent="0.35">
      <c r="A491" s="20"/>
      <c r="B491" s="20"/>
      <c r="C491" s="20"/>
    </row>
    <row r="492" spans="1:3" ht="16.5" x14ac:dyDescent="0.35">
      <c r="A492" s="20"/>
      <c r="B492" s="20"/>
      <c r="C492" s="20"/>
    </row>
    <row r="493" spans="1:3" ht="16.5" x14ac:dyDescent="0.35">
      <c r="A493" s="20"/>
      <c r="B493" s="20"/>
      <c r="C493" s="20"/>
    </row>
    <row r="494" spans="1:3" ht="16.5" x14ac:dyDescent="0.35">
      <c r="A494" s="20"/>
      <c r="B494" s="20"/>
      <c r="C494" s="20"/>
    </row>
    <row r="495" spans="1:3" ht="16.5" x14ac:dyDescent="0.35">
      <c r="A495" s="20"/>
      <c r="B495" s="20"/>
      <c r="C495" s="20"/>
    </row>
    <row r="496" spans="1:3" ht="16.5" x14ac:dyDescent="0.35">
      <c r="A496" s="20"/>
      <c r="B496" s="20"/>
      <c r="C496" s="20"/>
    </row>
    <row r="497" spans="1:3" ht="16.5" x14ac:dyDescent="0.35">
      <c r="A497" s="20"/>
      <c r="B497" s="20"/>
      <c r="C497" s="20"/>
    </row>
    <row r="498" spans="1:3" ht="16.5" x14ac:dyDescent="0.35">
      <c r="A498" s="20"/>
      <c r="B498" s="20"/>
      <c r="C498" s="20"/>
    </row>
    <row r="499" spans="1:3" ht="16.5" x14ac:dyDescent="0.35">
      <c r="A499" s="20"/>
      <c r="B499" s="20"/>
      <c r="C499" s="20"/>
    </row>
    <row r="500" spans="1:3" ht="16.5" x14ac:dyDescent="0.35">
      <c r="A500" s="20"/>
      <c r="B500" s="20"/>
      <c r="C500" s="20"/>
    </row>
    <row r="501" spans="1:3" ht="16.5" x14ac:dyDescent="0.35">
      <c r="A501" s="20"/>
      <c r="B501" s="20"/>
      <c r="C501" s="20"/>
    </row>
    <row r="502" spans="1:3" ht="16.5" x14ac:dyDescent="0.35">
      <c r="A502" s="20"/>
      <c r="B502" s="20"/>
      <c r="C502" s="20"/>
    </row>
    <row r="503" spans="1:3" ht="16.5" x14ac:dyDescent="0.35">
      <c r="A503" s="20"/>
      <c r="B503" s="20"/>
      <c r="C503" s="20"/>
    </row>
    <row r="504" spans="1:3" ht="16.5" x14ac:dyDescent="0.35">
      <c r="A504" s="20"/>
      <c r="B504" s="20"/>
      <c r="C504" s="20"/>
    </row>
    <row r="505" spans="1:3" ht="16.5" x14ac:dyDescent="0.35">
      <c r="A505" s="20"/>
      <c r="B505" s="20"/>
      <c r="C505" s="20"/>
    </row>
    <row r="506" spans="1:3" ht="16.5" x14ac:dyDescent="0.35">
      <c r="A506" s="20"/>
      <c r="B506" s="20"/>
      <c r="C506" s="20"/>
    </row>
    <row r="507" spans="1:3" ht="16.5" x14ac:dyDescent="0.35">
      <c r="A507" s="20"/>
      <c r="B507" s="20"/>
      <c r="C507" s="20"/>
    </row>
    <row r="508" spans="1:3" ht="16.5" x14ac:dyDescent="0.35">
      <c r="A508" s="20"/>
      <c r="B508" s="20"/>
      <c r="C508" s="20"/>
    </row>
    <row r="509" spans="1:3" ht="16.5" x14ac:dyDescent="0.35">
      <c r="A509" s="20"/>
      <c r="B509" s="20"/>
      <c r="C509" s="20"/>
    </row>
    <row r="510" spans="1:3" ht="16.5" x14ac:dyDescent="0.35">
      <c r="A510" s="20"/>
      <c r="B510" s="20"/>
      <c r="C510" s="20"/>
    </row>
    <row r="511" spans="1:3" ht="16.5" x14ac:dyDescent="0.35">
      <c r="A511" s="20"/>
      <c r="B511" s="20"/>
      <c r="C511" s="20"/>
    </row>
    <row r="512" spans="1:3" ht="16.5" x14ac:dyDescent="0.35">
      <c r="A512" s="20"/>
      <c r="B512" s="20"/>
      <c r="C512" s="20"/>
    </row>
    <row r="513" spans="1:3" ht="16.5" x14ac:dyDescent="0.35">
      <c r="A513" s="20"/>
      <c r="B513" s="20"/>
      <c r="C513" s="20"/>
    </row>
    <row r="514" spans="1:3" ht="16.5" x14ac:dyDescent="0.35">
      <c r="A514" s="20"/>
      <c r="B514" s="20"/>
      <c r="C514" s="20"/>
    </row>
    <row r="515" spans="1:3" ht="16.5" x14ac:dyDescent="0.35">
      <c r="A515" s="20"/>
      <c r="B515" s="20"/>
      <c r="C515" s="20"/>
    </row>
    <row r="516" spans="1:3" ht="16.5" x14ac:dyDescent="0.35">
      <c r="A516" s="20"/>
      <c r="B516" s="20"/>
      <c r="C516" s="20"/>
    </row>
    <row r="517" spans="1:3" ht="16.5" x14ac:dyDescent="0.35">
      <c r="A517" s="20"/>
      <c r="B517" s="20"/>
      <c r="C517" s="20"/>
    </row>
    <row r="518" spans="1:3" ht="16.5" x14ac:dyDescent="0.35">
      <c r="A518" s="20"/>
      <c r="B518" s="20"/>
      <c r="C518" s="20"/>
    </row>
    <row r="519" spans="1:3" ht="16.5" x14ac:dyDescent="0.35">
      <c r="A519" s="20"/>
      <c r="B519" s="20"/>
      <c r="C519" s="20"/>
    </row>
    <row r="520" spans="1:3" ht="16.5" x14ac:dyDescent="0.35">
      <c r="A520" s="20"/>
      <c r="B520" s="20"/>
      <c r="C520" s="20"/>
    </row>
    <row r="521" spans="1:3" ht="16.5" x14ac:dyDescent="0.35">
      <c r="A521" s="20"/>
      <c r="B521" s="20"/>
      <c r="C521" s="20"/>
    </row>
    <row r="522" spans="1:3" ht="16.5" x14ac:dyDescent="0.35">
      <c r="A522" s="20"/>
      <c r="B522" s="20"/>
      <c r="C522" s="20"/>
    </row>
    <row r="523" spans="1:3" ht="16.5" x14ac:dyDescent="0.35">
      <c r="A523" s="20"/>
      <c r="B523" s="20"/>
      <c r="C523" s="20"/>
    </row>
    <row r="524" spans="1:3" ht="16.5" x14ac:dyDescent="0.35">
      <c r="A524" s="20"/>
      <c r="B524" s="20"/>
      <c r="C524" s="20"/>
    </row>
    <row r="525" spans="1:3" ht="16.5" x14ac:dyDescent="0.35">
      <c r="A525" s="20"/>
      <c r="B525" s="20"/>
      <c r="C525" s="20"/>
    </row>
    <row r="526" spans="1:3" ht="16.5" x14ac:dyDescent="0.35">
      <c r="A526" s="20"/>
      <c r="B526" s="20"/>
      <c r="C526" s="20"/>
    </row>
    <row r="527" spans="1:3" ht="16.5" x14ac:dyDescent="0.35">
      <c r="A527" s="20"/>
      <c r="B527" s="20"/>
      <c r="C527" s="20"/>
    </row>
    <row r="528" spans="1:3" ht="16.5" x14ac:dyDescent="0.35">
      <c r="A528" s="20"/>
      <c r="B528" s="20"/>
      <c r="C528" s="20"/>
    </row>
    <row r="529" spans="1:3" ht="16.5" x14ac:dyDescent="0.35">
      <c r="A529" s="20"/>
      <c r="B529" s="20"/>
      <c r="C529" s="20"/>
    </row>
    <row r="530" spans="1:3" ht="16.5" x14ac:dyDescent="0.35">
      <c r="A530" s="20"/>
      <c r="B530" s="20"/>
      <c r="C530" s="20"/>
    </row>
    <row r="531" spans="1:3" ht="16.5" x14ac:dyDescent="0.35">
      <c r="A531" s="20"/>
      <c r="B531" s="20"/>
      <c r="C531" s="20"/>
    </row>
    <row r="532" spans="1:3" ht="16.5" x14ac:dyDescent="0.35">
      <c r="A532" s="20"/>
      <c r="B532" s="20"/>
      <c r="C532" s="20"/>
    </row>
    <row r="533" spans="1:3" ht="16.5" x14ac:dyDescent="0.35">
      <c r="A533" s="20"/>
      <c r="B533" s="20"/>
      <c r="C533" s="20"/>
    </row>
    <row r="534" spans="1:3" ht="16.5" x14ac:dyDescent="0.35">
      <c r="A534" s="20"/>
      <c r="B534" s="20"/>
      <c r="C534" s="20"/>
    </row>
    <row r="535" spans="1:3" ht="16.5" x14ac:dyDescent="0.35">
      <c r="A535" s="20"/>
      <c r="B535" s="20"/>
      <c r="C535" s="20"/>
    </row>
    <row r="536" spans="1:3" ht="16.5" x14ac:dyDescent="0.35">
      <c r="A536" s="20"/>
      <c r="B536" s="20"/>
      <c r="C536" s="20"/>
    </row>
    <row r="537" spans="1:3" ht="16.5" x14ac:dyDescent="0.35">
      <c r="A537" s="20"/>
      <c r="B537" s="20"/>
      <c r="C537" s="20"/>
    </row>
    <row r="538" spans="1:3" ht="16.5" x14ac:dyDescent="0.35">
      <c r="A538" s="20"/>
      <c r="B538" s="20"/>
      <c r="C538" s="20"/>
    </row>
    <row r="539" spans="1:3" ht="16.5" x14ac:dyDescent="0.35">
      <c r="A539" s="20"/>
      <c r="B539" s="20"/>
      <c r="C539" s="20"/>
    </row>
    <row r="540" spans="1:3" ht="16.5" x14ac:dyDescent="0.35">
      <c r="A540" s="20"/>
      <c r="B540" s="20"/>
      <c r="C540" s="20"/>
    </row>
    <row r="541" spans="1:3" ht="16.5" x14ac:dyDescent="0.35">
      <c r="A541" s="20"/>
      <c r="B541" s="20"/>
      <c r="C541" s="20"/>
    </row>
    <row r="542" spans="1:3" ht="16.5" x14ac:dyDescent="0.35">
      <c r="A542" s="20"/>
      <c r="B542" s="20"/>
      <c r="C542" s="20"/>
    </row>
    <row r="543" spans="1:3" ht="16.5" x14ac:dyDescent="0.35">
      <c r="A543" s="20"/>
      <c r="B543" s="20"/>
      <c r="C543" s="20"/>
    </row>
    <row r="544" spans="1:3" ht="16.5" x14ac:dyDescent="0.35">
      <c r="A544" s="20"/>
      <c r="B544" s="20"/>
      <c r="C544" s="20"/>
    </row>
    <row r="545" spans="1:3" ht="16.5" x14ac:dyDescent="0.35">
      <c r="A545" s="20"/>
      <c r="B545" s="20"/>
      <c r="C545" s="20"/>
    </row>
    <row r="546" spans="1:3" ht="16.5" x14ac:dyDescent="0.35">
      <c r="A546" s="20"/>
      <c r="B546" s="20"/>
      <c r="C546" s="20"/>
    </row>
    <row r="547" spans="1:3" ht="16.5" x14ac:dyDescent="0.35">
      <c r="A547" s="20"/>
      <c r="B547" s="20"/>
      <c r="C547" s="20"/>
    </row>
    <row r="548" spans="1:3" ht="16.5" x14ac:dyDescent="0.35">
      <c r="A548" s="20"/>
      <c r="B548" s="20"/>
      <c r="C548" s="20"/>
    </row>
    <row r="549" spans="1:3" ht="16.5" x14ac:dyDescent="0.35">
      <c r="A549" s="20"/>
      <c r="B549" s="20"/>
      <c r="C549" s="20"/>
    </row>
    <row r="550" spans="1:3" ht="16.5" x14ac:dyDescent="0.35">
      <c r="A550" s="20"/>
      <c r="B550" s="20"/>
      <c r="C550" s="20"/>
    </row>
    <row r="551" spans="1:3" ht="16.5" x14ac:dyDescent="0.35">
      <c r="A551" s="20"/>
      <c r="B551" s="20"/>
      <c r="C551" s="20"/>
    </row>
    <row r="552" spans="1:3" ht="16.5" x14ac:dyDescent="0.35">
      <c r="A552" s="20"/>
      <c r="B552" s="20"/>
      <c r="C552" s="20"/>
    </row>
    <row r="553" spans="1:3" ht="16.5" x14ac:dyDescent="0.35">
      <c r="A553" s="20"/>
      <c r="B553" s="20"/>
      <c r="C553" s="20"/>
    </row>
    <row r="554" spans="1:3" ht="16.5" x14ac:dyDescent="0.35">
      <c r="A554" s="20"/>
      <c r="B554" s="20"/>
      <c r="C554" s="20"/>
    </row>
    <row r="555" spans="1:3" ht="16.5" x14ac:dyDescent="0.35">
      <c r="A555" s="20"/>
      <c r="B555" s="20"/>
      <c r="C555" s="20"/>
    </row>
    <row r="556" spans="1:3" ht="16.5" x14ac:dyDescent="0.35">
      <c r="A556" s="20"/>
      <c r="B556" s="20"/>
      <c r="C556" s="20"/>
    </row>
    <row r="557" spans="1:3" ht="16.5" x14ac:dyDescent="0.35">
      <c r="A557" s="20"/>
      <c r="B557" s="20"/>
      <c r="C557" s="20"/>
    </row>
    <row r="558" spans="1:3" ht="16.5" x14ac:dyDescent="0.35">
      <c r="A558" s="20"/>
      <c r="B558" s="20"/>
      <c r="C558" s="20"/>
    </row>
    <row r="559" spans="1:3" ht="16.5" x14ac:dyDescent="0.35">
      <c r="A559" s="20"/>
      <c r="B559" s="20"/>
      <c r="C559" s="20"/>
    </row>
    <row r="560" spans="1:3" ht="16.5" x14ac:dyDescent="0.35">
      <c r="A560" s="20"/>
      <c r="B560" s="20"/>
      <c r="C560" s="20"/>
    </row>
    <row r="561" spans="1:3" ht="16.5" x14ac:dyDescent="0.35">
      <c r="A561" s="20"/>
      <c r="B561" s="20"/>
      <c r="C561" s="20"/>
    </row>
    <row r="562" spans="1:3" ht="16.5" x14ac:dyDescent="0.35">
      <c r="A562" s="20"/>
      <c r="B562" s="20"/>
      <c r="C562" s="20"/>
    </row>
    <row r="563" spans="1:3" ht="16.5" x14ac:dyDescent="0.35">
      <c r="A563" s="20"/>
      <c r="B563" s="20"/>
      <c r="C563" s="20"/>
    </row>
    <row r="564" spans="1:3" ht="16.5" x14ac:dyDescent="0.35">
      <c r="A564" s="20"/>
      <c r="B564" s="20"/>
      <c r="C564" s="20"/>
    </row>
    <row r="565" spans="1:3" ht="16.5" x14ac:dyDescent="0.35">
      <c r="A565" s="20"/>
      <c r="B565" s="20"/>
      <c r="C565" s="20"/>
    </row>
    <row r="566" spans="1:3" ht="16.5" x14ac:dyDescent="0.35">
      <c r="A566" s="20"/>
      <c r="B566" s="20"/>
      <c r="C566" s="20"/>
    </row>
    <row r="567" spans="1:3" ht="16.5" x14ac:dyDescent="0.35">
      <c r="A567" s="20"/>
      <c r="B567" s="20"/>
      <c r="C567" s="20"/>
    </row>
    <row r="568" spans="1:3" ht="16.5" x14ac:dyDescent="0.35">
      <c r="A568" s="20"/>
      <c r="B568" s="20"/>
      <c r="C568" s="20"/>
    </row>
    <row r="569" spans="1:3" ht="16.5" x14ac:dyDescent="0.35">
      <c r="A569" s="20"/>
      <c r="B569" s="20"/>
      <c r="C569" s="20"/>
    </row>
    <row r="570" spans="1:3" ht="16.5" x14ac:dyDescent="0.35">
      <c r="A570" s="20"/>
      <c r="B570" s="20"/>
      <c r="C570" s="20"/>
    </row>
    <row r="571" spans="1:3" ht="16.5" x14ac:dyDescent="0.35">
      <c r="A571" s="20"/>
      <c r="B571" s="20"/>
      <c r="C571" s="20"/>
    </row>
    <row r="572" spans="1:3" ht="16.5" x14ac:dyDescent="0.35">
      <c r="A572" s="20"/>
      <c r="B572" s="20"/>
      <c r="C572" s="20"/>
    </row>
    <row r="573" spans="1:3" ht="16.5" x14ac:dyDescent="0.35">
      <c r="A573" s="20"/>
      <c r="B573" s="20"/>
      <c r="C573" s="20"/>
    </row>
    <row r="574" spans="1:3" ht="16.5" x14ac:dyDescent="0.35">
      <c r="A574" s="20"/>
      <c r="B574" s="20"/>
      <c r="C574" s="20"/>
    </row>
    <row r="575" spans="1:3" ht="16.5" x14ac:dyDescent="0.35">
      <c r="A575" s="20"/>
      <c r="B575" s="20"/>
      <c r="C575" s="20"/>
    </row>
    <row r="576" spans="1:3" ht="16.5" x14ac:dyDescent="0.35">
      <c r="A576" s="20"/>
      <c r="B576" s="20"/>
      <c r="C576" s="20"/>
    </row>
    <row r="577" spans="1:3" ht="16.5" x14ac:dyDescent="0.35">
      <c r="A577" s="20"/>
      <c r="B577" s="20"/>
      <c r="C577" s="20"/>
    </row>
    <row r="578" spans="1:3" ht="16.5" x14ac:dyDescent="0.35">
      <c r="A578" s="20"/>
      <c r="B578" s="20"/>
      <c r="C578" s="20"/>
    </row>
    <row r="579" spans="1:3" ht="16.5" x14ac:dyDescent="0.35">
      <c r="A579" s="20"/>
      <c r="B579" s="20"/>
      <c r="C579" s="20"/>
    </row>
    <row r="580" spans="1:3" ht="16.5" x14ac:dyDescent="0.35">
      <c r="A580" s="20"/>
      <c r="B580" s="20"/>
      <c r="C580" s="20"/>
    </row>
    <row r="581" spans="1:3" ht="16.5" x14ac:dyDescent="0.35">
      <c r="A581" s="20"/>
      <c r="B581" s="20"/>
      <c r="C581" s="20"/>
    </row>
    <row r="582" spans="1:3" ht="16.5" x14ac:dyDescent="0.35">
      <c r="A582" s="20"/>
      <c r="B582" s="20"/>
      <c r="C582" s="20"/>
    </row>
    <row r="583" spans="1:3" ht="16.5" x14ac:dyDescent="0.35">
      <c r="A583" s="20"/>
      <c r="B583" s="20"/>
      <c r="C583" s="20"/>
    </row>
    <row r="584" spans="1:3" ht="16.5" x14ac:dyDescent="0.35">
      <c r="A584" s="20"/>
      <c r="B584" s="20"/>
      <c r="C584" s="20"/>
    </row>
    <row r="585" spans="1:3" ht="16.5" x14ac:dyDescent="0.35">
      <c r="A585" s="20"/>
      <c r="B585" s="20"/>
      <c r="C585" s="20"/>
    </row>
    <row r="586" spans="1:3" ht="16.5" x14ac:dyDescent="0.35">
      <c r="A586" s="20"/>
      <c r="B586" s="20"/>
      <c r="C586" s="20"/>
    </row>
    <row r="587" spans="1:3" ht="16.5" x14ac:dyDescent="0.35">
      <c r="A587" s="20"/>
      <c r="B587" s="20"/>
      <c r="C587" s="20"/>
    </row>
    <row r="588" spans="1:3" ht="16.5" x14ac:dyDescent="0.35">
      <c r="A588" s="20"/>
      <c r="B588" s="20"/>
      <c r="C588" s="20"/>
    </row>
    <row r="589" spans="1:3" ht="16.5" x14ac:dyDescent="0.35">
      <c r="A589" s="20"/>
      <c r="B589" s="20"/>
      <c r="C589" s="20"/>
    </row>
    <row r="590" spans="1:3" ht="16.5" x14ac:dyDescent="0.35">
      <c r="A590" s="20"/>
      <c r="B590" s="20"/>
      <c r="C590" s="20"/>
    </row>
    <row r="591" spans="1:3" ht="16.5" x14ac:dyDescent="0.35">
      <c r="A591" s="20"/>
      <c r="B591" s="20"/>
      <c r="C591" s="20"/>
    </row>
    <row r="592" spans="1:3" ht="16.5" x14ac:dyDescent="0.35">
      <c r="A592" s="20"/>
      <c r="B592" s="20"/>
      <c r="C592" s="20"/>
    </row>
    <row r="593" spans="1:3" ht="16.5" x14ac:dyDescent="0.35">
      <c r="A593" s="20"/>
      <c r="B593" s="20"/>
      <c r="C593" s="20"/>
    </row>
    <row r="594" spans="1:3" ht="16.5" x14ac:dyDescent="0.35">
      <c r="A594" s="20"/>
      <c r="B594" s="20"/>
      <c r="C594" s="20"/>
    </row>
    <row r="595" spans="1:3" ht="16.5" x14ac:dyDescent="0.35">
      <c r="A595" s="20"/>
      <c r="B595" s="20"/>
      <c r="C595" s="20"/>
    </row>
    <row r="596" spans="1:3" ht="16.5" x14ac:dyDescent="0.35">
      <c r="A596" s="20"/>
      <c r="B596" s="20"/>
      <c r="C596" s="20"/>
    </row>
    <row r="597" spans="1:3" ht="16.5" x14ac:dyDescent="0.35">
      <c r="A597" s="20"/>
      <c r="B597" s="20"/>
      <c r="C597" s="20"/>
    </row>
    <row r="598" spans="1:3" ht="16.5" x14ac:dyDescent="0.35">
      <c r="A598" s="20"/>
      <c r="B598" s="20"/>
      <c r="C598" s="20"/>
    </row>
    <row r="599" spans="1:3" ht="16.5" x14ac:dyDescent="0.35">
      <c r="A599" s="20"/>
      <c r="B599" s="20"/>
      <c r="C599" s="20"/>
    </row>
    <row r="600" spans="1:3" ht="16.5" x14ac:dyDescent="0.35">
      <c r="A600" s="20"/>
      <c r="B600" s="20"/>
      <c r="C600" s="20"/>
    </row>
    <row r="601" spans="1:3" ht="16.5" x14ac:dyDescent="0.35">
      <c r="A601" s="20"/>
      <c r="B601" s="20"/>
      <c r="C601" s="20"/>
    </row>
    <row r="602" spans="1:3" ht="16.5" x14ac:dyDescent="0.35">
      <c r="A602" s="20"/>
      <c r="B602" s="20"/>
      <c r="C602" s="20"/>
    </row>
    <row r="603" spans="1:3" ht="16.5" x14ac:dyDescent="0.35">
      <c r="A603" s="20"/>
      <c r="B603" s="20"/>
      <c r="C603" s="20"/>
    </row>
    <row r="604" spans="1:3" ht="16.5" x14ac:dyDescent="0.35">
      <c r="A604" s="20"/>
      <c r="B604" s="20"/>
      <c r="C604" s="20"/>
    </row>
    <row r="605" spans="1:3" ht="16.5" x14ac:dyDescent="0.35">
      <c r="A605" s="20"/>
      <c r="B605" s="20"/>
      <c r="C605" s="20"/>
    </row>
    <row r="606" spans="1:3" ht="16.5" x14ac:dyDescent="0.35">
      <c r="A606" s="20"/>
      <c r="B606" s="20"/>
      <c r="C606" s="20"/>
    </row>
    <row r="607" spans="1:3" ht="16.5" x14ac:dyDescent="0.35">
      <c r="A607" s="20"/>
      <c r="B607" s="20"/>
      <c r="C607" s="20"/>
    </row>
    <row r="608" spans="1:3" ht="16.5" x14ac:dyDescent="0.35">
      <c r="A608" s="20"/>
      <c r="B608" s="20"/>
      <c r="C608" s="20"/>
    </row>
    <row r="609" spans="1:3" ht="16.5" x14ac:dyDescent="0.35">
      <c r="A609" s="20"/>
      <c r="B609" s="20"/>
      <c r="C609" s="20"/>
    </row>
    <row r="610" spans="1:3" ht="16.5" x14ac:dyDescent="0.35">
      <c r="A610" s="20"/>
      <c r="B610" s="20"/>
      <c r="C610" s="20"/>
    </row>
    <row r="611" spans="1:3" ht="16.5" x14ac:dyDescent="0.35">
      <c r="A611" s="20"/>
      <c r="B611" s="20"/>
      <c r="C611" s="20"/>
    </row>
    <row r="612" spans="1:3" ht="16.5" x14ac:dyDescent="0.35">
      <c r="A612" s="20"/>
      <c r="B612" s="20"/>
      <c r="C612" s="20"/>
    </row>
    <row r="613" spans="1:3" ht="16.5" x14ac:dyDescent="0.35">
      <c r="A613" s="20"/>
      <c r="B613" s="20"/>
      <c r="C613" s="20"/>
    </row>
    <row r="614" spans="1:3" ht="16.5" x14ac:dyDescent="0.35">
      <c r="A614" s="20"/>
      <c r="B614" s="20"/>
      <c r="C614" s="20"/>
    </row>
    <row r="615" spans="1:3" ht="16.5" x14ac:dyDescent="0.35">
      <c r="A615" s="20"/>
      <c r="B615" s="20"/>
      <c r="C615" s="20"/>
    </row>
    <row r="616" spans="1:3" ht="16.5" x14ac:dyDescent="0.35">
      <c r="A616" s="20"/>
      <c r="B616" s="20"/>
      <c r="C616" s="20"/>
    </row>
    <row r="617" spans="1:3" ht="16.5" x14ac:dyDescent="0.35">
      <c r="A617" s="20"/>
      <c r="B617" s="20"/>
      <c r="C617" s="20"/>
    </row>
    <row r="618" spans="1:3" ht="16.5" x14ac:dyDescent="0.35">
      <c r="A618" s="20"/>
      <c r="B618" s="20"/>
      <c r="C618" s="20"/>
    </row>
    <row r="619" spans="1:3" ht="16.5" x14ac:dyDescent="0.35">
      <c r="A619" s="20"/>
      <c r="B619" s="20"/>
      <c r="C619" s="20"/>
    </row>
    <row r="620" spans="1:3" ht="16.5" x14ac:dyDescent="0.35">
      <c r="A620" s="20"/>
      <c r="B620" s="20"/>
      <c r="C620" s="20"/>
    </row>
    <row r="621" spans="1:3" ht="16.5" x14ac:dyDescent="0.35">
      <c r="A621" s="20"/>
      <c r="B621" s="20"/>
      <c r="C621" s="20"/>
    </row>
    <row r="622" spans="1:3" ht="16.5" x14ac:dyDescent="0.35">
      <c r="A622" s="20"/>
      <c r="B622" s="20"/>
      <c r="C622" s="20"/>
    </row>
    <row r="623" spans="1:3" ht="16.5" x14ac:dyDescent="0.35">
      <c r="A623" s="20"/>
      <c r="B623" s="20"/>
      <c r="C623" s="20"/>
    </row>
    <row r="624" spans="1:3" ht="16.5" x14ac:dyDescent="0.35">
      <c r="A624" s="20"/>
      <c r="B624" s="20"/>
      <c r="C624" s="20"/>
    </row>
    <row r="625" spans="1:3" ht="16.5" x14ac:dyDescent="0.35">
      <c r="A625" s="20"/>
      <c r="B625" s="20"/>
      <c r="C625" s="20"/>
    </row>
    <row r="626" spans="1:3" ht="16.5" x14ac:dyDescent="0.35">
      <c r="A626" s="20"/>
      <c r="B626" s="20"/>
      <c r="C626" s="20"/>
    </row>
    <row r="627" spans="1:3" ht="16.5" x14ac:dyDescent="0.35">
      <c r="A627" s="20"/>
      <c r="B627" s="20"/>
      <c r="C627" s="20"/>
    </row>
    <row r="628" spans="1:3" ht="16.5" x14ac:dyDescent="0.35">
      <c r="A628" s="20"/>
      <c r="B628" s="20"/>
      <c r="C628" s="20"/>
    </row>
    <row r="629" spans="1:3" ht="16.5" x14ac:dyDescent="0.35">
      <c r="A629" s="20"/>
      <c r="B629" s="20"/>
      <c r="C629" s="20"/>
    </row>
    <row r="630" spans="1:3" ht="16.5" x14ac:dyDescent="0.35">
      <c r="A630" s="20"/>
      <c r="B630" s="20"/>
      <c r="C630" s="20"/>
    </row>
    <row r="631" spans="1:3" ht="16.5" x14ac:dyDescent="0.35">
      <c r="A631" s="20"/>
      <c r="B631" s="20"/>
      <c r="C631" s="20"/>
    </row>
    <row r="632" spans="1:3" ht="16.5" x14ac:dyDescent="0.35">
      <c r="A632" s="20"/>
      <c r="B632" s="20"/>
      <c r="C632" s="20"/>
    </row>
    <row r="633" spans="1:3" ht="16.5" x14ac:dyDescent="0.35">
      <c r="A633" s="20"/>
      <c r="B633" s="20"/>
      <c r="C633" s="20"/>
    </row>
    <row r="634" spans="1:3" ht="16.5" x14ac:dyDescent="0.35">
      <c r="A634" s="20"/>
      <c r="B634" s="20"/>
      <c r="C634" s="20"/>
    </row>
    <row r="635" spans="1:3" ht="16.5" x14ac:dyDescent="0.35">
      <c r="A635" s="20"/>
      <c r="B635" s="20"/>
      <c r="C635" s="20"/>
    </row>
    <row r="636" spans="1:3" ht="16.5" x14ac:dyDescent="0.35">
      <c r="A636" s="20"/>
      <c r="B636" s="20"/>
      <c r="C636" s="20"/>
    </row>
    <row r="637" spans="1:3" ht="16.5" x14ac:dyDescent="0.35">
      <c r="A637" s="20"/>
      <c r="B637" s="20"/>
      <c r="C637" s="20"/>
    </row>
    <row r="638" spans="1:3" ht="16.5" x14ac:dyDescent="0.35">
      <c r="A638" s="20"/>
      <c r="B638" s="20"/>
      <c r="C638" s="20"/>
    </row>
    <row r="639" spans="1:3" ht="16.5" x14ac:dyDescent="0.35">
      <c r="A639" s="20"/>
      <c r="B639" s="20"/>
      <c r="C639" s="20"/>
    </row>
    <row r="640" spans="1:3" ht="16.5" x14ac:dyDescent="0.35">
      <c r="A640" s="20"/>
      <c r="B640" s="20"/>
      <c r="C640" s="20"/>
    </row>
    <row r="641" spans="1:3" ht="16.5" x14ac:dyDescent="0.35">
      <c r="A641" s="20"/>
      <c r="B641" s="20"/>
      <c r="C641" s="20"/>
    </row>
    <row r="642" spans="1:3" ht="16.5" x14ac:dyDescent="0.35">
      <c r="A642" s="20"/>
      <c r="B642" s="20"/>
      <c r="C642" s="20"/>
    </row>
    <row r="643" spans="1:3" ht="16.5" x14ac:dyDescent="0.35">
      <c r="A643" s="20"/>
      <c r="B643" s="20"/>
      <c r="C643" s="20"/>
    </row>
    <row r="644" spans="1:3" ht="16.5" x14ac:dyDescent="0.35">
      <c r="A644" s="20"/>
      <c r="B644" s="20"/>
      <c r="C644" s="20"/>
    </row>
    <row r="645" spans="1:3" ht="16.5" x14ac:dyDescent="0.35">
      <c r="A645" s="20"/>
      <c r="B645" s="20"/>
      <c r="C645" s="20"/>
    </row>
    <row r="646" spans="1:3" ht="16.5" x14ac:dyDescent="0.35">
      <c r="A646" s="20"/>
      <c r="B646" s="20"/>
      <c r="C646" s="20"/>
    </row>
    <row r="647" spans="1:3" ht="16.5" x14ac:dyDescent="0.35">
      <c r="A647" s="20"/>
      <c r="B647" s="20"/>
      <c r="C647" s="20"/>
    </row>
    <row r="648" spans="1:3" ht="16.5" x14ac:dyDescent="0.35">
      <c r="A648" s="20"/>
      <c r="B648" s="20"/>
      <c r="C648" s="20"/>
    </row>
    <row r="649" spans="1:3" ht="16.5" x14ac:dyDescent="0.35">
      <c r="A649" s="20"/>
      <c r="B649" s="20"/>
      <c r="C649" s="20"/>
    </row>
    <row r="650" spans="1:3" ht="16.5" x14ac:dyDescent="0.35">
      <c r="A650" s="20"/>
      <c r="B650" s="20"/>
      <c r="C650" s="20"/>
    </row>
    <row r="651" spans="1:3" ht="16.5" x14ac:dyDescent="0.35">
      <c r="A651" s="20"/>
      <c r="B651" s="20"/>
      <c r="C651" s="20"/>
    </row>
    <row r="652" spans="1:3" ht="16.5" x14ac:dyDescent="0.35">
      <c r="A652" s="20"/>
      <c r="B652" s="20"/>
      <c r="C652" s="20"/>
    </row>
    <row r="653" spans="1:3" ht="16.5" x14ac:dyDescent="0.35">
      <c r="A653" s="20"/>
      <c r="B653" s="20"/>
      <c r="C653" s="20"/>
    </row>
    <row r="654" spans="1:3" ht="16.5" x14ac:dyDescent="0.35">
      <c r="A654" s="20"/>
      <c r="B654" s="20"/>
      <c r="C654" s="20"/>
    </row>
    <row r="655" spans="1:3" ht="16.5" x14ac:dyDescent="0.35">
      <c r="A655" s="20"/>
      <c r="B655" s="20"/>
      <c r="C655" s="20"/>
    </row>
    <row r="656" spans="1:3" ht="16.5" x14ac:dyDescent="0.35">
      <c r="A656" s="20"/>
      <c r="B656" s="20"/>
      <c r="C656" s="20"/>
    </row>
    <row r="657" spans="1:3" ht="16.5" x14ac:dyDescent="0.35">
      <c r="A657" s="20"/>
      <c r="B657" s="20"/>
      <c r="C657" s="20"/>
    </row>
    <row r="658" spans="1:3" ht="16.5" x14ac:dyDescent="0.35">
      <c r="A658" s="20"/>
      <c r="B658" s="20"/>
      <c r="C658" s="20"/>
    </row>
    <row r="659" spans="1:3" ht="16.5" x14ac:dyDescent="0.35">
      <c r="A659" s="20"/>
      <c r="B659" s="20"/>
      <c r="C659" s="20"/>
    </row>
    <row r="660" spans="1:3" ht="16.5" x14ac:dyDescent="0.35">
      <c r="A660" s="20"/>
      <c r="B660" s="20"/>
      <c r="C660" s="20"/>
    </row>
    <row r="661" spans="1:3" ht="16.5" x14ac:dyDescent="0.35">
      <c r="A661" s="20"/>
      <c r="B661" s="20"/>
      <c r="C661" s="20"/>
    </row>
    <row r="662" spans="1:3" ht="16.5" x14ac:dyDescent="0.35">
      <c r="A662" s="20"/>
      <c r="B662" s="20"/>
      <c r="C662" s="20"/>
    </row>
    <row r="663" spans="1:3" ht="16.5" x14ac:dyDescent="0.35">
      <c r="A663" s="20"/>
      <c r="B663" s="20"/>
      <c r="C663" s="20"/>
    </row>
    <row r="664" spans="1:3" ht="16.5" x14ac:dyDescent="0.35">
      <c r="A664" s="20"/>
      <c r="B664" s="20"/>
      <c r="C664" s="20"/>
    </row>
    <row r="665" spans="1:3" ht="16.5" x14ac:dyDescent="0.35">
      <c r="A665" s="20"/>
      <c r="B665" s="20"/>
      <c r="C665" s="20"/>
    </row>
    <row r="666" spans="1:3" ht="16.5" x14ac:dyDescent="0.35">
      <c r="A666" s="20"/>
      <c r="B666" s="20"/>
      <c r="C666" s="20"/>
    </row>
    <row r="667" spans="1:3" ht="16.5" x14ac:dyDescent="0.35">
      <c r="A667" s="20"/>
      <c r="B667" s="20"/>
      <c r="C667" s="20"/>
    </row>
    <row r="668" spans="1:3" ht="16.5" x14ac:dyDescent="0.35">
      <c r="A668" s="20"/>
      <c r="B668" s="20"/>
      <c r="C668" s="20"/>
    </row>
    <row r="669" spans="1:3" ht="16.5" x14ac:dyDescent="0.35">
      <c r="A669" s="20"/>
      <c r="B669" s="20"/>
      <c r="C669" s="20"/>
    </row>
    <row r="670" spans="1:3" ht="16.5" x14ac:dyDescent="0.35">
      <c r="A670" s="20"/>
      <c r="B670" s="20"/>
      <c r="C670" s="20"/>
    </row>
    <row r="671" spans="1:3" ht="16.5" x14ac:dyDescent="0.35">
      <c r="A671" s="20"/>
      <c r="B671" s="20"/>
      <c r="C671" s="20"/>
    </row>
    <row r="672" spans="1:3" ht="16.5" x14ac:dyDescent="0.35">
      <c r="A672" s="20"/>
      <c r="B672" s="20"/>
      <c r="C672" s="20"/>
    </row>
    <row r="673" spans="1:3" ht="16.5" x14ac:dyDescent="0.35">
      <c r="A673" s="20"/>
      <c r="B673" s="20"/>
      <c r="C673" s="20"/>
    </row>
    <row r="674" spans="1:3" ht="16.5" x14ac:dyDescent="0.35">
      <c r="A674" s="20"/>
      <c r="B674" s="20"/>
      <c r="C674" s="20"/>
    </row>
    <row r="675" spans="1:3" ht="16.5" x14ac:dyDescent="0.35">
      <c r="A675" s="20"/>
      <c r="B675" s="20"/>
      <c r="C675" s="20"/>
    </row>
    <row r="676" spans="1:3" ht="16.5" x14ac:dyDescent="0.35">
      <c r="A676" s="20"/>
      <c r="B676" s="20"/>
      <c r="C676" s="20"/>
    </row>
    <row r="677" spans="1:3" ht="16.5" x14ac:dyDescent="0.35">
      <c r="A677" s="20"/>
      <c r="B677" s="20"/>
      <c r="C677" s="20"/>
    </row>
    <row r="678" spans="1:3" ht="16.5" x14ac:dyDescent="0.35">
      <c r="A678" s="20"/>
      <c r="B678" s="20"/>
      <c r="C678" s="20"/>
    </row>
    <row r="679" spans="1:3" ht="16.5" x14ac:dyDescent="0.35">
      <c r="A679" s="20"/>
      <c r="B679" s="20"/>
      <c r="C679" s="20"/>
    </row>
    <row r="680" spans="1:3" ht="16.5" x14ac:dyDescent="0.35">
      <c r="A680" s="20"/>
      <c r="B680" s="20"/>
      <c r="C680" s="20"/>
    </row>
    <row r="681" spans="1:3" ht="16.5" x14ac:dyDescent="0.35">
      <c r="A681" s="20"/>
      <c r="B681" s="20"/>
      <c r="C681" s="20"/>
    </row>
    <row r="682" spans="1:3" ht="16.5" x14ac:dyDescent="0.35">
      <c r="A682" s="20"/>
      <c r="B682" s="20"/>
      <c r="C682" s="20"/>
    </row>
    <row r="683" spans="1:3" ht="16.5" x14ac:dyDescent="0.35">
      <c r="A683" s="20"/>
      <c r="B683" s="20"/>
      <c r="C683" s="20"/>
    </row>
    <row r="684" spans="1:3" ht="16.5" x14ac:dyDescent="0.35">
      <c r="A684" s="20"/>
      <c r="B684" s="20"/>
      <c r="C684" s="20"/>
    </row>
    <row r="685" spans="1:3" ht="16.5" x14ac:dyDescent="0.35">
      <c r="A685" s="20"/>
      <c r="B685" s="20"/>
      <c r="C685" s="20"/>
    </row>
    <row r="686" spans="1:3" ht="16.5" x14ac:dyDescent="0.35">
      <c r="A686" s="20"/>
      <c r="B686" s="20"/>
      <c r="C686" s="20"/>
    </row>
    <row r="687" spans="1:3" ht="16.5" x14ac:dyDescent="0.35">
      <c r="A687" s="20"/>
      <c r="B687" s="20"/>
      <c r="C687" s="20"/>
    </row>
    <row r="688" spans="1:3" ht="16.5" x14ac:dyDescent="0.35">
      <c r="A688" s="20"/>
      <c r="B688" s="20"/>
      <c r="C688" s="20"/>
    </row>
    <row r="689" spans="1:3" ht="16.5" x14ac:dyDescent="0.35">
      <c r="A689" s="20"/>
      <c r="B689" s="20"/>
      <c r="C689" s="20"/>
    </row>
    <row r="690" spans="1:3" ht="16.5" x14ac:dyDescent="0.35">
      <c r="A690" s="20"/>
      <c r="B690" s="20"/>
      <c r="C690" s="20"/>
    </row>
    <row r="691" spans="1:3" ht="16.5" x14ac:dyDescent="0.35">
      <c r="A691" s="20"/>
      <c r="B691" s="20"/>
      <c r="C691" s="20"/>
    </row>
    <row r="692" spans="1:3" ht="16.5" x14ac:dyDescent="0.35">
      <c r="A692" s="20"/>
      <c r="B692" s="20"/>
      <c r="C692" s="20"/>
    </row>
    <row r="693" spans="1:3" ht="16.5" x14ac:dyDescent="0.35">
      <c r="A693" s="20"/>
      <c r="B693" s="20"/>
      <c r="C693" s="20"/>
    </row>
    <row r="694" spans="1:3" ht="16.5" x14ac:dyDescent="0.35">
      <c r="A694" s="20"/>
      <c r="B694" s="20"/>
      <c r="C694" s="20"/>
    </row>
    <row r="695" spans="1:3" ht="16.5" x14ac:dyDescent="0.35">
      <c r="A695" s="20"/>
      <c r="B695" s="20"/>
      <c r="C695" s="20"/>
    </row>
    <row r="696" spans="1:3" ht="16.5" x14ac:dyDescent="0.35">
      <c r="A696" s="20"/>
      <c r="B696" s="20"/>
      <c r="C696" s="20"/>
    </row>
    <row r="697" spans="1:3" ht="16.5" x14ac:dyDescent="0.35">
      <c r="A697" s="20"/>
      <c r="B697" s="20"/>
      <c r="C697" s="20"/>
    </row>
    <row r="698" spans="1:3" ht="16.5" x14ac:dyDescent="0.35">
      <c r="A698" s="20"/>
      <c r="B698" s="20"/>
      <c r="C698" s="20"/>
    </row>
    <row r="699" spans="1:3" ht="16.5" x14ac:dyDescent="0.35">
      <c r="A699" s="20"/>
      <c r="B699" s="20"/>
      <c r="C699" s="20"/>
    </row>
    <row r="700" spans="1:3" ht="16.5" x14ac:dyDescent="0.35">
      <c r="A700" s="20"/>
      <c r="B700" s="20"/>
      <c r="C700" s="20"/>
    </row>
    <row r="701" spans="1:3" ht="16.5" x14ac:dyDescent="0.35">
      <c r="A701" s="20"/>
      <c r="B701" s="20"/>
      <c r="C701" s="20"/>
    </row>
    <row r="702" spans="1:3" ht="16.5" x14ac:dyDescent="0.35">
      <c r="A702" s="20"/>
      <c r="B702" s="20"/>
      <c r="C702" s="20"/>
    </row>
    <row r="703" spans="1:3" ht="16.5" x14ac:dyDescent="0.35">
      <c r="A703" s="20"/>
      <c r="B703" s="20"/>
      <c r="C703" s="20"/>
    </row>
    <row r="704" spans="1:3" ht="16.5" x14ac:dyDescent="0.35">
      <c r="A704" s="20"/>
      <c r="B704" s="20"/>
      <c r="C704" s="20"/>
    </row>
    <row r="705" spans="1:3" ht="16.5" x14ac:dyDescent="0.35">
      <c r="A705" s="20"/>
      <c r="B705" s="20"/>
      <c r="C705" s="20"/>
    </row>
    <row r="706" spans="1:3" ht="16.5" x14ac:dyDescent="0.35">
      <c r="A706" s="20"/>
      <c r="B706" s="20"/>
      <c r="C706" s="20"/>
    </row>
    <row r="707" spans="1:3" ht="16.5" x14ac:dyDescent="0.35">
      <c r="A707" s="20"/>
      <c r="B707" s="20"/>
      <c r="C707" s="20"/>
    </row>
    <row r="708" spans="1:3" ht="16.5" x14ac:dyDescent="0.35">
      <c r="A708" s="20"/>
      <c r="B708" s="20"/>
      <c r="C708" s="20"/>
    </row>
    <row r="709" spans="1:3" ht="16.5" x14ac:dyDescent="0.35">
      <c r="A709" s="20"/>
      <c r="B709" s="20"/>
      <c r="C709" s="20"/>
    </row>
    <row r="710" spans="1:3" ht="16.5" x14ac:dyDescent="0.35">
      <c r="A710" s="20"/>
      <c r="B710" s="20"/>
      <c r="C710" s="20"/>
    </row>
    <row r="711" spans="1:3" ht="16.5" x14ac:dyDescent="0.35">
      <c r="A711" s="20"/>
      <c r="B711" s="20"/>
      <c r="C711" s="20"/>
    </row>
    <row r="712" spans="1:3" ht="16.5" x14ac:dyDescent="0.35">
      <c r="A712" s="20"/>
      <c r="B712" s="20"/>
      <c r="C712" s="20"/>
    </row>
    <row r="713" spans="1:3" ht="16.5" x14ac:dyDescent="0.35">
      <c r="A713" s="20"/>
      <c r="B713" s="20"/>
      <c r="C713" s="20"/>
    </row>
    <row r="714" spans="1:3" ht="16.5" x14ac:dyDescent="0.35">
      <c r="A714" s="20"/>
      <c r="B714" s="20"/>
      <c r="C714" s="20"/>
    </row>
    <row r="715" spans="1:3" ht="16.5" x14ac:dyDescent="0.35">
      <c r="A715" s="20"/>
      <c r="B715" s="20"/>
      <c r="C715" s="20"/>
    </row>
    <row r="716" spans="1:3" ht="16.5" x14ac:dyDescent="0.35">
      <c r="A716" s="20"/>
      <c r="B716" s="20"/>
      <c r="C716" s="20"/>
    </row>
    <row r="717" spans="1:3" ht="16.5" x14ac:dyDescent="0.35">
      <c r="A717" s="20"/>
      <c r="B717" s="20"/>
      <c r="C717" s="20"/>
    </row>
    <row r="718" spans="1:3" ht="16.5" x14ac:dyDescent="0.35">
      <c r="A718" s="20"/>
      <c r="B718" s="20"/>
      <c r="C718" s="20"/>
    </row>
    <row r="719" spans="1:3" ht="16.5" x14ac:dyDescent="0.35">
      <c r="A719" s="20"/>
      <c r="B719" s="20"/>
      <c r="C719" s="20"/>
    </row>
    <row r="720" spans="1:3" ht="16.5" x14ac:dyDescent="0.35">
      <c r="A720" s="20"/>
      <c r="B720" s="20"/>
      <c r="C720" s="20"/>
    </row>
    <row r="721" spans="1:3" ht="16.5" x14ac:dyDescent="0.35">
      <c r="A721" s="20"/>
      <c r="B721" s="20"/>
      <c r="C721" s="20"/>
    </row>
    <row r="722" spans="1:3" ht="16.5" x14ac:dyDescent="0.35">
      <c r="A722" s="20"/>
      <c r="B722" s="20"/>
      <c r="C722" s="20"/>
    </row>
    <row r="723" spans="1:3" ht="16.5" x14ac:dyDescent="0.35">
      <c r="A723" s="20"/>
      <c r="B723" s="20"/>
      <c r="C723" s="20"/>
    </row>
    <row r="724" spans="1:3" ht="16.5" x14ac:dyDescent="0.35">
      <c r="A724" s="20"/>
      <c r="B724" s="20"/>
      <c r="C724" s="20"/>
    </row>
    <row r="725" spans="1:3" ht="16.5" x14ac:dyDescent="0.35">
      <c r="A725" s="20"/>
      <c r="B725" s="20"/>
      <c r="C725" s="20"/>
    </row>
    <row r="726" spans="1:3" ht="16.5" x14ac:dyDescent="0.35">
      <c r="A726" s="20"/>
      <c r="B726" s="20"/>
      <c r="C726" s="20"/>
    </row>
    <row r="727" spans="1:3" ht="16.5" x14ac:dyDescent="0.35">
      <c r="A727" s="20"/>
      <c r="B727" s="20"/>
      <c r="C727" s="20"/>
    </row>
    <row r="728" spans="1:3" ht="16.5" x14ac:dyDescent="0.35">
      <c r="A728" s="20"/>
      <c r="B728" s="20"/>
      <c r="C728" s="20"/>
    </row>
    <row r="729" spans="1:3" ht="16.5" x14ac:dyDescent="0.35">
      <c r="A729" s="20"/>
      <c r="B729" s="20"/>
      <c r="C729" s="20"/>
    </row>
    <row r="730" spans="1:3" ht="16.5" x14ac:dyDescent="0.35">
      <c r="A730" s="20"/>
      <c r="B730" s="20"/>
      <c r="C730" s="20"/>
    </row>
    <row r="731" spans="1:3" ht="16.5" x14ac:dyDescent="0.35">
      <c r="A731" s="20"/>
      <c r="B731" s="20"/>
      <c r="C731" s="20"/>
    </row>
    <row r="732" spans="1:3" ht="16.5" x14ac:dyDescent="0.35">
      <c r="A732" s="20"/>
      <c r="B732" s="20"/>
      <c r="C732" s="20"/>
    </row>
    <row r="733" spans="1:3" ht="16.5" x14ac:dyDescent="0.35">
      <c r="A733" s="20"/>
      <c r="B733" s="20"/>
      <c r="C733" s="20"/>
    </row>
    <row r="734" spans="1:3" ht="16.5" x14ac:dyDescent="0.35">
      <c r="A734" s="20"/>
      <c r="B734" s="20"/>
      <c r="C734" s="20"/>
    </row>
    <row r="735" spans="1:3" ht="16.5" x14ac:dyDescent="0.35">
      <c r="A735" s="20"/>
      <c r="B735" s="20"/>
      <c r="C735" s="20"/>
    </row>
    <row r="736" spans="1:3" ht="16.5" x14ac:dyDescent="0.35">
      <c r="A736" s="20"/>
      <c r="B736" s="20"/>
      <c r="C736" s="20"/>
    </row>
    <row r="737" spans="1:3" ht="16.5" x14ac:dyDescent="0.35">
      <c r="A737" s="20"/>
      <c r="B737" s="20"/>
      <c r="C737" s="20"/>
    </row>
    <row r="738" spans="1:3" ht="16.5" x14ac:dyDescent="0.35">
      <c r="A738" s="20"/>
      <c r="B738" s="20"/>
      <c r="C738" s="20"/>
    </row>
    <row r="739" spans="1:3" ht="16.5" x14ac:dyDescent="0.35">
      <c r="A739" s="20"/>
      <c r="B739" s="20"/>
      <c r="C739" s="20"/>
    </row>
    <row r="740" spans="1:3" ht="16.5" x14ac:dyDescent="0.35">
      <c r="A740" s="20"/>
      <c r="B740" s="20"/>
      <c r="C740" s="20"/>
    </row>
    <row r="741" spans="1:3" ht="16.5" x14ac:dyDescent="0.35">
      <c r="A741" s="20"/>
      <c r="B741" s="20"/>
      <c r="C741" s="20"/>
    </row>
    <row r="742" spans="1:3" ht="16.5" x14ac:dyDescent="0.35">
      <c r="A742" s="20"/>
      <c r="B742" s="20"/>
      <c r="C742" s="20"/>
    </row>
    <row r="743" spans="1:3" ht="16.5" x14ac:dyDescent="0.35">
      <c r="A743" s="20"/>
      <c r="B743" s="20"/>
      <c r="C743" s="20"/>
    </row>
    <row r="744" spans="1:3" ht="16.5" x14ac:dyDescent="0.35">
      <c r="A744" s="20"/>
      <c r="B744" s="20"/>
      <c r="C744" s="20"/>
    </row>
    <row r="745" spans="1:3" ht="16.5" x14ac:dyDescent="0.35">
      <c r="A745" s="20"/>
      <c r="B745" s="20"/>
      <c r="C745" s="20"/>
    </row>
    <row r="746" spans="1:3" ht="16.5" x14ac:dyDescent="0.35">
      <c r="A746" s="20"/>
      <c r="B746" s="20"/>
      <c r="C746" s="20"/>
    </row>
    <row r="747" spans="1:3" ht="16.5" x14ac:dyDescent="0.35">
      <c r="A747" s="20"/>
      <c r="B747" s="20"/>
      <c r="C747" s="20"/>
    </row>
    <row r="748" spans="1:3" ht="16.5" x14ac:dyDescent="0.35">
      <c r="A748" s="20"/>
      <c r="B748" s="20"/>
      <c r="C748" s="20"/>
    </row>
    <row r="749" spans="1:3" ht="16.5" x14ac:dyDescent="0.35">
      <c r="A749" s="20"/>
      <c r="B749" s="20"/>
      <c r="C749" s="20"/>
    </row>
    <row r="750" spans="1:3" ht="16.5" x14ac:dyDescent="0.35">
      <c r="A750" s="20"/>
      <c r="B750" s="20"/>
      <c r="C750" s="20"/>
    </row>
    <row r="751" spans="1:3" ht="16.5" x14ac:dyDescent="0.35">
      <c r="A751" s="20"/>
      <c r="B751" s="20"/>
      <c r="C751" s="20"/>
    </row>
    <row r="752" spans="1:3" ht="16.5" x14ac:dyDescent="0.35">
      <c r="A752" s="20"/>
      <c r="B752" s="20"/>
      <c r="C752" s="20"/>
    </row>
    <row r="753" spans="1:3" ht="16.5" x14ac:dyDescent="0.35">
      <c r="A753" s="20"/>
      <c r="B753" s="20"/>
      <c r="C753" s="20"/>
    </row>
    <row r="754" spans="1:3" ht="16.5" x14ac:dyDescent="0.35">
      <c r="A754" s="20"/>
      <c r="B754" s="20"/>
      <c r="C754" s="20"/>
    </row>
    <row r="755" spans="1:3" ht="16.5" x14ac:dyDescent="0.35">
      <c r="A755" s="20"/>
      <c r="B755" s="20"/>
      <c r="C755" s="20"/>
    </row>
    <row r="756" spans="1:3" ht="16.5" x14ac:dyDescent="0.35">
      <c r="A756" s="20"/>
      <c r="B756" s="20"/>
      <c r="C756" s="20"/>
    </row>
    <row r="757" spans="1:3" ht="16.5" x14ac:dyDescent="0.35">
      <c r="A757" s="20"/>
      <c r="B757" s="20"/>
      <c r="C757" s="20"/>
    </row>
    <row r="758" spans="1:3" ht="16.5" x14ac:dyDescent="0.35">
      <c r="A758" s="20"/>
      <c r="B758" s="20"/>
      <c r="C758" s="20"/>
    </row>
    <row r="759" spans="1:3" ht="16.5" x14ac:dyDescent="0.35">
      <c r="A759" s="20"/>
      <c r="B759" s="20"/>
      <c r="C759" s="20"/>
    </row>
    <row r="760" spans="1:3" ht="16.5" x14ac:dyDescent="0.35">
      <c r="A760" s="20"/>
      <c r="B760" s="20"/>
      <c r="C760" s="20"/>
    </row>
    <row r="761" spans="1:3" ht="16.5" x14ac:dyDescent="0.35">
      <c r="A761" s="20"/>
      <c r="B761" s="20"/>
      <c r="C761" s="20"/>
    </row>
    <row r="762" spans="1:3" ht="16.5" x14ac:dyDescent="0.35">
      <c r="A762" s="20"/>
      <c r="B762" s="20"/>
      <c r="C762" s="20"/>
    </row>
    <row r="763" spans="1:3" ht="16.5" x14ac:dyDescent="0.35">
      <c r="A763" s="20"/>
      <c r="B763" s="20"/>
      <c r="C763" s="20"/>
    </row>
    <row r="764" spans="1:3" ht="16.5" x14ac:dyDescent="0.35">
      <c r="A764" s="20"/>
      <c r="B764" s="20"/>
      <c r="C764" s="20"/>
    </row>
    <row r="765" spans="1:3" ht="16.5" x14ac:dyDescent="0.35">
      <c r="A765" s="20"/>
      <c r="B765" s="20"/>
      <c r="C765" s="20"/>
    </row>
    <row r="766" spans="1:3" ht="16.5" x14ac:dyDescent="0.35">
      <c r="A766" s="20"/>
      <c r="B766" s="20"/>
      <c r="C766" s="20"/>
    </row>
    <row r="767" spans="1:3" ht="16.5" x14ac:dyDescent="0.35">
      <c r="A767" s="20"/>
      <c r="B767" s="20"/>
      <c r="C767" s="20"/>
    </row>
    <row r="768" spans="1:3" ht="16.5" x14ac:dyDescent="0.35">
      <c r="A768" s="20"/>
      <c r="B768" s="20"/>
      <c r="C768" s="20"/>
    </row>
    <row r="769" spans="1:3" ht="16.5" x14ac:dyDescent="0.35">
      <c r="A769" s="20"/>
      <c r="B769" s="20"/>
      <c r="C769" s="20"/>
    </row>
    <row r="770" spans="1:3" ht="16.5" x14ac:dyDescent="0.35">
      <c r="A770" s="20"/>
      <c r="B770" s="20"/>
      <c r="C770" s="20"/>
    </row>
    <row r="771" spans="1:3" ht="16.5" x14ac:dyDescent="0.35">
      <c r="A771" s="20"/>
      <c r="B771" s="20"/>
      <c r="C771" s="20"/>
    </row>
    <row r="772" spans="1:3" ht="16.5" x14ac:dyDescent="0.35">
      <c r="A772" s="20"/>
      <c r="B772" s="20"/>
      <c r="C772" s="20"/>
    </row>
    <row r="773" spans="1:3" ht="16.5" x14ac:dyDescent="0.35">
      <c r="A773" s="20"/>
      <c r="B773" s="20"/>
      <c r="C773" s="20"/>
    </row>
    <row r="774" spans="1:3" ht="16.5" x14ac:dyDescent="0.35">
      <c r="A774" s="20"/>
      <c r="B774" s="20"/>
      <c r="C774" s="20"/>
    </row>
    <row r="775" spans="1:3" ht="16.5" x14ac:dyDescent="0.35">
      <c r="A775" s="20"/>
      <c r="B775" s="20"/>
      <c r="C775" s="20"/>
    </row>
    <row r="776" spans="1:3" ht="16.5" x14ac:dyDescent="0.35">
      <c r="A776" s="20"/>
      <c r="B776" s="20"/>
      <c r="C776" s="20"/>
    </row>
    <row r="777" spans="1:3" ht="16.5" x14ac:dyDescent="0.35">
      <c r="A777" s="20"/>
      <c r="B777" s="20"/>
      <c r="C777" s="20"/>
    </row>
    <row r="778" spans="1:3" ht="16.5" x14ac:dyDescent="0.35">
      <c r="A778" s="20"/>
      <c r="B778" s="20"/>
      <c r="C778" s="20"/>
    </row>
    <row r="779" spans="1:3" ht="16.5" x14ac:dyDescent="0.35">
      <c r="A779" s="20"/>
      <c r="B779" s="20"/>
      <c r="C779" s="20"/>
    </row>
    <row r="780" spans="1:3" ht="16.5" x14ac:dyDescent="0.35">
      <c r="A780" s="20"/>
      <c r="B780" s="20"/>
      <c r="C780" s="20"/>
    </row>
    <row r="781" spans="1:3" ht="16.5" x14ac:dyDescent="0.35">
      <c r="A781" s="20"/>
      <c r="B781" s="20"/>
      <c r="C781" s="20"/>
    </row>
    <row r="782" spans="1:3" ht="16.5" x14ac:dyDescent="0.35">
      <c r="A782" s="20"/>
      <c r="B782" s="20"/>
      <c r="C782" s="20"/>
    </row>
    <row r="783" spans="1:3" ht="16.5" x14ac:dyDescent="0.35">
      <c r="A783" s="20"/>
      <c r="B783" s="20"/>
      <c r="C783" s="20"/>
    </row>
    <row r="784" spans="1:3" ht="16.5" x14ac:dyDescent="0.35">
      <c r="A784" s="20"/>
      <c r="B784" s="20"/>
      <c r="C784" s="20"/>
    </row>
    <row r="785" spans="1:3" ht="16.5" x14ac:dyDescent="0.35">
      <c r="A785" s="20"/>
      <c r="B785" s="20"/>
      <c r="C785" s="20"/>
    </row>
    <row r="786" spans="1:3" ht="16.5" x14ac:dyDescent="0.35">
      <c r="A786" s="20"/>
      <c r="B786" s="20"/>
      <c r="C786" s="20"/>
    </row>
    <row r="787" spans="1:3" ht="16.5" x14ac:dyDescent="0.35">
      <c r="A787" s="20"/>
      <c r="B787" s="20"/>
      <c r="C787" s="20"/>
    </row>
    <row r="788" spans="1:3" ht="16.5" x14ac:dyDescent="0.35">
      <c r="A788" s="20"/>
      <c r="B788" s="20"/>
      <c r="C788" s="20"/>
    </row>
    <row r="789" spans="1:3" ht="16.5" x14ac:dyDescent="0.35">
      <c r="A789" s="20"/>
      <c r="B789" s="20"/>
      <c r="C789" s="20"/>
    </row>
    <row r="790" spans="1:3" ht="16.5" x14ac:dyDescent="0.35">
      <c r="A790" s="20"/>
      <c r="B790" s="20"/>
      <c r="C790" s="20"/>
    </row>
    <row r="791" spans="1:3" ht="16.5" x14ac:dyDescent="0.35">
      <c r="A791" s="20"/>
      <c r="B791" s="20"/>
      <c r="C791" s="20"/>
    </row>
    <row r="792" spans="1:3" ht="16.5" x14ac:dyDescent="0.35">
      <c r="A792" s="20"/>
      <c r="B792" s="20"/>
      <c r="C792" s="20"/>
    </row>
    <row r="793" spans="1:3" ht="16.5" x14ac:dyDescent="0.35">
      <c r="A793" s="20"/>
      <c r="B793" s="20"/>
      <c r="C793" s="20"/>
    </row>
    <row r="794" spans="1:3" ht="16.5" x14ac:dyDescent="0.35">
      <c r="A794" s="20"/>
      <c r="B794" s="20"/>
      <c r="C794" s="20"/>
    </row>
    <row r="795" spans="1:3" ht="16.5" x14ac:dyDescent="0.35">
      <c r="A795" s="20"/>
      <c r="B795" s="20"/>
      <c r="C795" s="20"/>
    </row>
    <row r="796" spans="1:3" ht="16.5" x14ac:dyDescent="0.35">
      <c r="A796" s="20"/>
      <c r="B796" s="20"/>
      <c r="C796" s="20"/>
    </row>
    <row r="797" spans="1:3" ht="16.5" x14ac:dyDescent="0.35">
      <c r="A797" s="20"/>
      <c r="B797" s="20"/>
      <c r="C797" s="20"/>
    </row>
    <row r="798" spans="1:3" ht="16.5" x14ac:dyDescent="0.35">
      <c r="A798" s="20"/>
      <c r="B798" s="20"/>
      <c r="C798" s="20"/>
    </row>
    <row r="799" spans="1:3" ht="16.5" x14ac:dyDescent="0.35">
      <c r="A799" s="20"/>
      <c r="B799" s="20"/>
      <c r="C799" s="20"/>
    </row>
    <row r="800" spans="1:3" ht="16.5" x14ac:dyDescent="0.35">
      <c r="A800" s="20"/>
      <c r="B800" s="20"/>
      <c r="C800" s="20"/>
    </row>
    <row r="801" spans="1:3" ht="16.5" x14ac:dyDescent="0.35">
      <c r="A801" s="20"/>
      <c r="B801" s="20"/>
      <c r="C801" s="20"/>
    </row>
    <row r="802" spans="1:3" ht="16.5" x14ac:dyDescent="0.35">
      <c r="A802" s="20"/>
      <c r="B802" s="20"/>
      <c r="C802" s="20"/>
    </row>
    <row r="803" spans="1:3" ht="16.5" x14ac:dyDescent="0.35">
      <c r="A803" s="20"/>
      <c r="B803" s="20"/>
      <c r="C803" s="20"/>
    </row>
    <row r="804" spans="1:3" ht="16.5" x14ac:dyDescent="0.35">
      <c r="A804" s="20"/>
      <c r="B804" s="20"/>
      <c r="C804" s="20"/>
    </row>
    <row r="805" spans="1:3" ht="16.5" x14ac:dyDescent="0.35">
      <c r="A805" s="20"/>
      <c r="B805" s="20"/>
      <c r="C805" s="20"/>
    </row>
    <row r="806" spans="1:3" ht="16.5" x14ac:dyDescent="0.35">
      <c r="A806" s="20"/>
      <c r="B806" s="20"/>
      <c r="C806" s="20"/>
    </row>
    <row r="807" spans="1:3" ht="16.5" x14ac:dyDescent="0.35">
      <c r="A807" s="20"/>
      <c r="B807" s="20"/>
      <c r="C807" s="20"/>
    </row>
    <row r="808" spans="1:3" ht="16.5" x14ac:dyDescent="0.35">
      <c r="A808" s="20"/>
      <c r="B808" s="20"/>
      <c r="C808" s="20"/>
    </row>
    <row r="809" spans="1:3" ht="16.5" x14ac:dyDescent="0.35">
      <c r="A809" s="20"/>
      <c r="B809" s="20"/>
      <c r="C809" s="20"/>
    </row>
    <row r="810" spans="1:3" ht="16.5" x14ac:dyDescent="0.35">
      <c r="A810" s="20"/>
      <c r="B810" s="20"/>
      <c r="C810" s="20"/>
    </row>
    <row r="811" spans="1:3" ht="16.5" x14ac:dyDescent="0.35">
      <c r="A811" s="20"/>
      <c r="B811" s="20"/>
      <c r="C811" s="20"/>
    </row>
    <row r="812" spans="1:3" ht="16.5" x14ac:dyDescent="0.35">
      <c r="A812" s="20"/>
      <c r="B812" s="20"/>
      <c r="C812" s="20"/>
    </row>
    <row r="813" spans="1:3" ht="16.5" x14ac:dyDescent="0.35">
      <c r="A813" s="20"/>
      <c r="B813" s="20"/>
      <c r="C813" s="20"/>
    </row>
    <row r="814" spans="1:3" ht="16.5" x14ac:dyDescent="0.35">
      <c r="A814" s="20"/>
      <c r="B814" s="20"/>
      <c r="C814" s="20"/>
    </row>
    <row r="815" spans="1:3" ht="16.5" x14ac:dyDescent="0.35">
      <c r="A815" s="20"/>
      <c r="B815" s="20"/>
      <c r="C815" s="20"/>
    </row>
    <row r="816" spans="1:3" ht="16.5" x14ac:dyDescent="0.35">
      <c r="A816" s="20"/>
      <c r="B816" s="20"/>
      <c r="C816" s="20"/>
    </row>
    <row r="817" spans="1:3" ht="16.5" x14ac:dyDescent="0.35">
      <c r="A817" s="20"/>
      <c r="B817" s="20"/>
      <c r="C817" s="20"/>
    </row>
    <row r="818" spans="1:3" ht="16.5" x14ac:dyDescent="0.35">
      <c r="A818" s="20"/>
      <c r="B818" s="20"/>
      <c r="C818" s="20"/>
    </row>
    <row r="819" spans="1:3" ht="16.5" x14ac:dyDescent="0.35">
      <c r="A819" s="20"/>
      <c r="B819" s="20"/>
      <c r="C819" s="20"/>
    </row>
    <row r="820" spans="1:3" ht="16.5" x14ac:dyDescent="0.35">
      <c r="A820" s="20"/>
      <c r="B820" s="20"/>
      <c r="C820" s="20"/>
    </row>
    <row r="821" spans="1:3" ht="16.5" x14ac:dyDescent="0.35">
      <c r="A821" s="20"/>
      <c r="B821" s="20"/>
      <c r="C821" s="20"/>
    </row>
    <row r="822" spans="1:3" ht="16.5" x14ac:dyDescent="0.35">
      <c r="A822" s="20"/>
      <c r="B822" s="20"/>
      <c r="C822" s="20"/>
    </row>
    <row r="823" spans="1:3" ht="16.5" x14ac:dyDescent="0.35">
      <c r="A823" s="20"/>
      <c r="B823" s="20"/>
      <c r="C823" s="20"/>
    </row>
    <row r="824" spans="1:3" ht="16.5" x14ac:dyDescent="0.35">
      <c r="A824" s="20"/>
      <c r="B824" s="20"/>
      <c r="C824" s="20"/>
    </row>
    <row r="825" spans="1:3" ht="16.5" x14ac:dyDescent="0.35">
      <c r="A825" s="20"/>
      <c r="B825" s="20"/>
      <c r="C825" s="20"/>
    </row>
    <row r="826" spans="1:3" ht="16.5" x14ac:dyDescent="0.35">
      <c r="A826" s="20"/>
      <c r="B826" s="20"/>
      <c r="C826" s="20"/>
    </row>
    <row r="827" spans="1:3" ht="16.5" x14ac:dyDescent="0.35">
      <c r="A827" s="20"/>
      <c r="B827" s="20"/>
      <c r="C827" s="20"/>
    </row>
    <row r="828" spans="1:3" ht="16.5" x14ac:dyDescent="0.35">
      <c r="A828" s="20"/>
      <c r="B828" s="20"/>
      <c r="C828" s="20"/>
    </row>
    <row r="829" spans="1:3" ht="16.5" x14ac:dyDescent="0.35">
      <c r="A829" s="20"/>
      <c r="B829" s="20"/>
      <c r="C829" s="20"/>
    </row>
    <row r="830" spans="1:3" ht="16.5" x14ac:dyDescent="0.35">
      <c r="A830" s="20"/>
      <c r="B830" s="20"/>
      <c r="C830" s="20"/>
    </row>
    <row r="831" spans="1:3" ht="16.5" x14ac:dyDescent="0.35">
      <c r="A831" s="20"/>
      <c r="B831" s="20"/>
      <c r="C831" s="20"/>
    </row>
    <row r="832" spans="1:3" ht="16.5" x14ac:dyDescent="0.35">
      <c r="A832" s="20"/>
      <c r="B832" s="20"/>
      <c r="C832" s="20"/>
    </row>
    <row r="833" spans="1:3" ht="16.5" x14ac:dyDescent="0.35">
      <c r="A833" s="20"/>
      <c r="B833" s="20"/>
      <c r="C833" s="20"/>
    </row>
    <row r="834" spans="1:3" ht="16.5" x14ac:dyDescent="0.35">
      <c r="A834" s="20"/>
      <c r="B834" s="20"/>
      <c r="C834" s="20"/>
    </row>
    <row r="835" spans="1:3" ht="16.5" x14ac:dyDescent="0.35">
      <c r="A835" s="20"/>
      <c r="B835" s="20"/>
      <c r="C835" s="20"/>
    </row>
    <row r="836" spans="1:3" ht="16.5" x14ac:dyDescent="0.35">
      <c r="A836" s="20"/>
      <c r="B836" s="20"/>
      <c r="C836" s="20"/>
    </row>
    <row r="837" spans="1:3" ht="16.5" x14ac:dyDescent="0.35">
      <c r="A837" s="20"/>
      <c r="B837" s="20"/>
      <c r="C837" s="20"/>
    </row>
    <row r="838" spans="1:3" ht="16.5" x14ac:dyDescent="0.35">
      <c r="A838" s="20"/>
      <c r="B838" s="20"/>
      <c r="C838" s="20"/>
    </row>
    <row r="839" spans="1:3" ht="16.5" x14ac:dyDescent="0.35">
      <c r="A839" s="20"/>
      <c r="B839" s="20"/>
      <c r="C839" s="20"/>
    </row>
    <row r="840" spans="1:3" ht="16.5" x14ac:dyDescent="0.35">
      <c r="A840" s="20"/>
      <c r="B840" s="20"/>
      <c r="C840" s="20"/>
    </row>
    <row r="841" spans="1:3" ht="16.5" x14ac:dyDescent="0.35">
      <c r="A841" s="20"/>
      <c r="B841" s="20"/>
      <c r="C841" s="20"/>
    </row>
    <row r="842" spans="1:3" ht="16.5" x14ac:dyDescent="0.35">
      <c r="A842" s="20"/>
      <c r="B842" s="20"/>
      <c r="C842" s="20"/>
    </row>
    <row r="843" spans="1:3" ht="16.5" x14ac:dyDescent="0.35">
      <c r="A843" s="20"/>
      <c r="B843" s="20"/>
      <c r="C843" s="20"/>
    </row>
    <row r="844" spans="1:3" ht="16.5" x14ac:dyDescent="0.35">
      <c r="A844" s="20"/>
      <c r="B844" s="20"/>
      <c r="C844" s="20"/>
    </row>
    <row r="845" spans="1:3" ht="16.5" x14ac:dyDescent="0.35">
      <c r="A845" s="20"/>
      <c r="B845" s="20"/>
      <c r="C845" s="20"/>
    </row>
    <row r="846" spans="1:3" ht="16.5" x14ac:dyDescent="0.35">
      <c r="A846" s="20"/>
      <c r="B846" s="20"/>
      <c r="C846" s="20"/>
    </row>
    <row r="847" spans="1:3" ht="16.5" x14ac:dyDescent="0.35">
      <c r="A847" s="20"/>
      <c r="B847" s="20"/>
      <c r="C847" s="20"/>
    </row>
    <row r="848" spans="1:3" ht="16.5" x14ac:dyDescent="0.35">
      <c r="A848" s="20"/>
      <c r="B848" s="20"/>
      <c r="C848" s="20"/>
    </row>
    <row r="849" spans="1:3" ht="16.5" x14ac:dyDescent="0.35">
      <c r="A849" s="20"/>
      <c r="B849" s="20"/>
      <c r="C849" s="20"/>
    </row>
    <row r="850" spans="1:3" ht="16.5" x14ac:dyDescent="0.35">
      <c r="A850" s="20"/>
      <c r="B850" s="20"/>
      <c r="C850" s="20"/>
    </row>
    <row r="851" spans="1:3" ht="16.5" x14ac:dyDescent="0.35">
      <c r="A851" s="20"/>
      <c r="B851" s="20"/>
      <c r="C851" s="20"/>
    </row>
    <row r="852" spans="1:3" ht="16.5" x14ac:dyDescent="0.35">
      <c r="A852" s="20"/>
      <c r="B852" s="20"/>
      <c r="C852" s="20"/>
    </row>
    <row r="853" spans="1:3" ht="16.5" x14ac:dyDescent="0.35">
      <c r="A853" s="20"/>
      <c r="B853" s="20"/>
      <c r="C853" s="20"/>
    </row>
    <row r="854" spans="1:3" ht="16.5" x14ac:dyDescent="0.35">
      <c r="A854" s="20"/>
      <c r="B854" s="20"/>
      <c r="C854" s="20"/>
    </row>
    <row r="855" spans="1:3" ht="16.5" x14ac:dyDescent="0.35">
      <c r="A855" s="20"/>
      <c r="B855" s="20"/>
      <c r="C855" s="20"/>
    </row>
    <row r="856" spans="1:3" ht="16.5" x14ac:dyDescent="0.35">
      <c r="A856" s="20"/>
      <c r="B856" s="20"/>
      <c r="C856" s="20"/>
    </row>
    <row r="857" spans="1:3" ht="16.5" x14ac:dyDescent="0.35">
      <c r="A857" s="20"/>
      <c r="B857" s="20"/>
      <c r="C857" s="20"/>
    </row>
    <row r="858" spans="1:3" ht="16.5" x14ac:dyDescent="0.35">
      <c r="A858" s="20"/>
      <c r="B858" s="20"/>
      <c r="C858" s="20"/>
    </row>
    <row r="859" spans="1:3" ht="16.5" x14ac:dyDescent="0.35">
      <c r="A859" s="20"/>
      <c r="B859" s="20"/>
      <c r="C859" s="20"/>
    </row>
    <row r="860" spans="1:3" ht="16.5" x14ac:dyDescent="0.35">
      <c r="A860" s="20"/>
      <c r="B860" s="20"/>
      <c r="C860" s="20"/>
    </row>
    <row r="861" spans="1:3" ht="16.5" x14ac:dyDescent="0.35">
      <c r="A861" s="20"/>
      <c r="B861" s="20"/>
      <c r="C861" s="20"/>
    </row>
    <row r="862" spans="1:3" ht="16.5" x14ac:dyDescent="0.35">
      <c r="A862" s="20"/>
      <c r="B862" s="20"/>
      <c r="C862" s="20"/>
    </row>
    <row r="863" spans="1:3" ht="16.5" x14ac:dyDescent="0.35">
      <c r="A863" s="20"/>
      <c r="B863" s="20"/>
      <c r="C863" s="20"/>
    </row>
    <row r="864" spans="1:3" ht="16.5" x14ac:dyDescent="0.35">
      <c r="A864" s="20"/>
      <c r="B864" s="20"/>
      <c r="C864" s="20"/>
    </row>
    <row r="865" spans="1:3" ht="16.5" x14ac:dyDescent="0.35">
      <c r="A865" s="20"/>
      <c r="B865" s="20"/>
      <c r="C865" s="20"/>
    </row>
    <row r="866" spans="1:3" ht="16.5" x14ac:dyDescent="0.35">
      <c r="A866" s="20"/>
      <c r="B866" s="20"/>
      <c r="C866" s="20"/>
    </row>
    <row r="867" spans="1:3" ht="16.5" x14ac:dyDescent="0.35">
      <c r="A867" s="20"/>
      <c r="B867" s="20"/>
      <c r="C867" s="20"/>
    </row>
    <row r="868" spans="1:3" ht="16.5" x14ac:dyDescent="0.35">
      <c r="A868" s="20"/>
      <c r="B868" s="20"/>
      <c r="C868" s="20"/>
    </row>
    <row r="869" spans="1:3" ht="16.5" x14ac:dyDescent="0.35">
      <c r="A869" s="20"/>
      <c r="B869" s="20"/>
      <c r="C869" s="20"/>
    </row>
    <row r="870" spans="1:3" ht="16.5" x14ac:dyDescent="0.35">
      <c r="A870" s="20"/>
      <c r="B870" s="20"/>
      <c r="C870" s="20"/>
    </row>
    <row r="871" spans="1:3" ht="16.5" x14ac:dyDescent="0.35">
      <c r="A871" s="20"/>
      <c r="B871" s="20"/>
      <c r="C871" s="20"/>
    </row>
    <row r="872" spans="1:3" ht="16.5" x14ac:dyDescent="0.35">
      <c r="A872" s="20"/>
      <c r="B872" s="20"/>
      <c r="C872" s="20"/>
    </row>
    <row r="873" spans="1:3" ht="16.5" x14ac:dyDescent="0.35">
      <c r="A873" s="20"/>
      <c r="B873" s="20"/>
      <c r="C873" s="20"/>
    </row>
    <row r="874" spans="1:3" ht="16.5" x14ac:dyDescent="0.35">
      <c r="A874" s="20"/>
      <c r="B874" s="20"/>
      <c r="C874" s="20"/>
    </row>
    <row r="875" spans="1:3" ht="16.5" x14ac:dyDescent="0.35">
      <c r="A875" s="20"/>
      <c r="B875" s="20"/>
      <c r="C875" s="20"/>
    </row>
    <row r="876" spans="1:3" ht="16.5" x14ac:dyDescent="0.35">
      <c r="A876" s="20"/>
      <c r="B876" s="20"/>
      <c r="C876" s="20"/>
    </row>
    <row r="877" spans="1:3" ht="16.5" x14ac:dyDescent="0.35">
      <c r="A877" s="20"/>
      <c r="B877" s="20"/>
      <c r="C877" s="20"/>
    </row>
    <row r="878" spans="1:3" ht="16.5" x14ac:dyDescent="0.35">
      <c r="A878" s="20"/>
      <c r="B878" s="20"/>
      <c r="C878" s="20"/>
    </row>
    <row r="879" spans="1:3" ht="16.5" x14ac:dyDescent="0.35">
      <c r="A879" s="20"/>
      <c r="B879" s="20"/>
      <c r="C879" s="20"/>
    </row>
    <row r="880" spans="1:3" ht="16.5" x14ac:dyDescent="0.35">
      <c r="A880" s="20"/>
      <c r="B880" s="20"/>
      <c r="C880" s="20"/>
    </row>
    <row r="881" spans="1:3" ht="16.5" x14ac:dyDescent="0.35">
      <c r="A881" s="20"/>
      <c r="B881" s="20"/>
      <c r="C881" s="20"/>
    </row>
    <row r="882" spans="1:3" ht="16.5" x14ac:dyDescent="0.35">
      <c r="A882" s="20"/>
      <c r="B882" s="20"/>
      <c r="C882" s="20"/>
    </row>
    <row r="883" spans="1:3" ht="16.5" x14ac:dyDescent="0.35">
      <c r="A883" s="20"/>
      <c r="B883" s="20"/>
      <c r="C883" s="20"/>
    </row>
    <row r="884" spans="1:3" ht="16.5" x14ac:dyDescent="0.35">
      <c r="A884" s="20"/>
      <c r="B884" s="20"/>
      <c r="C884" s="20"/>
    </row>
    <row r="885" spans="1:3" ht="16.5" x14ac:dyDescent="0.35">
      <c r="A885" s="20"/>
      <c r="B885" s="20"/>
      <c r="C885" s="20"/>
    </row>
    <row r="886" spans="1:3" ht="16.5" x14ac:dyDescent="0.35">
      <c r="A886" s="20"/>
      <c r="B886" s="20"/>
      <c r="C886" s="20"/>
    </row>
    <row r="887" spans="1:3" ht="16.5" x14ac:dyDescent="0.35">
      <c r="A887" s="20"/>
      <c r="B887" s="20"/>
      <c r="C887" s="20"/>
    </row>
    <row r="888" spans="1:3" ht="16.5" x14ac:dyDescent="0.35">
      <c r="A888" s="20"/>
      <c r="B888" s="20"/>
      <c r="C888" s="20"/>
    </row>
    <row r="889" spans="1:3" ht="16.5" x14ac:dyDescent="0.35">
      <c r="A889" s="20"/>
      <c r="B889" s="20"/>
      <c r="C889" s="20"/>
    </row>
    <row r="890" spans="1:3" ht="16.5" x14ac:dyDescent="0.35">
      <c r="A890" s="20"/>
      <c r="B890" s="20"/>
      <c r="C890" s="20"/>
    </row>
    <row r="891" spans="1:3" ht="16.5" x14ac:dyDescent="0.35">
      <c r="A891" s="20"/>
      <c r="B891" s="20"/>
      <c r="C891" s="20"/>
    </row>
    <row r="892" spans="1:3" ht="16.5" x14ac:dyDescent="0.35">
      <c r="A892" s="20"/>
      <c r="B892" s="20"/>
      <c r="C892" s="20"/>
    </row>
    <row r="893" spans="1:3" ht="16.5" x14ac:dyDescent="0.35">
      <c r="A893" s="20"/>
      <c r="B893" s="20"/>
      <c r="C893" s="20"/>
    </row>
    <row r="894" spans="1:3" ht="16.5" x14ac:dyDescent="0.35">
      <c r="A894" s="20"/>
      <c r="B894" s="20"/>
      <c r="C894" s="20"/>
    </row>
    <row r="895" spans="1:3" ht="16.5" x14ac:dyDescent="0.35">
      <c r="A895" s="20"/>
      <c r="B895" s="20"/>
      <c r="C895" s="20"/>
    </row>
    <row r="896" spans="1:3" ht="16.5" x14ac:dyDescent="0.35">
      <c r="A896" s="20"/>
      <c r="B896" s="20"/>
      <c r="C896" s="20"/>
    </row>
    <row r="897" spans="1:3" ht="16.5" x14ac:dyDescent="0.35">
      <c r="A897" s="20"/>
      <c r="B897" s="20"/>
      <c r="C897" s="20"/>
    </row>
    <row r="898" spans="1:3" ht="16.5" x14ac:dyDescent="0.35">
      <c r="A898" s="20"/>
      <c r="B898" s="20"/>
      <c r="C898" s="20"/>
    </row>
    <row r="899" spans="1:3" ht="16.5" x14ac:dyDescent="0.35">
      <c r="A899" s="20"/>
      <c r="B899" s="20"/>
      <c r="C899" s="20"/>
    </row>
    <row r="900" spans="1:3" ht="16.5" x14ac:dyDescent="0.35">
      <c r="A900" s="20"/>
      <c r="B900" s="20"/>
      <c r="C900" s="20"/>
    </row>
    <row r="901" spans="1:3" ht="16.5" x14ac:dyDescent="0.35">
      <c r="A901" s="20"/>
      <c r="B901" s="20"/>
      <c r="C901" s="20"/>
    </row>
    <row r="902" spans="1:3" ht="16.5" x14ac:dyDescent="0.35">
      <c r="A902" s="20"/>
      <c r="B902" s="20"/>
      <c r="C902" s="20"/>
    </row>
    <row r="903" spans="1:3" ht="16.5" x14ac:dyDescent="0.35">
      <c r="A903" s="20"/>
      <c r="B903" s="20"/>
      <c r="C903" s="20"/>
    </row>
    <row r="904" spans="1:3" ht="16.5" x14ac:dyDescent="0.35">
      <c r="A904" s="20"/>
      <c r="B904" s="20"/>
      <c r="C904" s="20"/>
    </row>
    <row r="905" spans="1:3" ht="16.5" x14ac:dyDescent="0.35">
      <c r="A905" s="20"/>
      <c r="B905" s="20"/>
      <c r="C905" s="20"/>
    </row>
    <row r="906" spans="1:3" ht="16.5" x14ac:dyDescent="0.35">
      <c r="A906" s="20"/>
      <c r="B906" s="20"/>
      <c r="C906" s="20"/>
    </row>
    <row r="907" spans="1:3" ht="16.5" x14ac:dyDescent="0.35">
      <c r="A907" s="20"/>
      <c r="B907" s="20"/>
      <c r="C907" s="20"/>
    </row>
    <row r="908" spans="1:3" ht="16.5" x14ac:dyDescent="0.35">
      <c r="A908" s="20"/>
      <c r="B908" s="20"/>
      <c r="C908" s="20"/>
    </row>
    <row r="909" spans="1:3" ht="16.5" x14ac:dyDescent="0.35">
      <c r="A909" s="20"/>
      <c r="B909" s="20"/>
      <c r="C909" s="20"/>
    </row>
    <row r="910" spans="1:3" ht="16.5" x14ac:dyDescent="0.35">
      <c r="A910" s="20"/>
      <c r="B910" s="20"/>
      <c r="C910" s="20"/>
    </row>
    <row r="911" spans="1:3" ht="16.5" x14ac:dyDescent="0.35">
      <c r="A911" s="20"/>
      <c r="B911" s="20"/>
      <c r="C911" s="20"/>
    </row>
    <row r="912" spans="1:3" ht="16.5" x14ac:dyDescent="0.35">
      <c r="A912" s="20"/>
      <c r="B912" s="20"/>
      <c r="C912" s="20"/>
    </row>
    <row r="913" spans="1:3" ht="16.5" x14ac:dyDescent="0.35">
      <c r="A913" s="20"/>
      <c r="B913" s="20"/>
      <c r="C913" s="20"/>
    </row>
    <row r="914" spans="1:3" ht="16.5" x14ac:dyDescent="0.35">
      <c r="A914" s="20"/>
      <c r="B914" s="20"/>
      <c r="C914" s="20"/>
    </row>
    <row r="915" spans="1:3" ht="16.5" x14ac:dyDescent="0.35">
      <c r="A915" s="20"/>
      <c r="B915" s="20"/>
      <c r="C915" s="20"/>
    </row>
    <row r="916" spans="1:3" ht="16.5" x14ac:dyDescent="0.35">
      <c r="A916" s="20"/>
      <c r="B916" s="20"/>
      <c r="C916" s="20"/>
    </row>
    <row r="917" spans="1:3" ht="16.5" x14ac:dyDescent="0.35">
      <c r="A917" s="20"/>
      <c r="B917" s="20"/>
      <c r="C917" s="20"/>
    </row>
    <row r="918" spans="1:3" ht="16.5" x14ac:dyDescent="0.35">
      <c r="A918" s="20"/>
      <c r="B918" s="20"/>
      <c r="C918" s="20"/>
    </row>
    <row r="919" spans="1:3" ht="16.5" x14ac:dyDescent="0.35">
      <c r="A919" s="20"/>
      <c r="B919" s="20"/>
      <c r="C919" s="20"/>
    </row>
    <row r="920" spans="1:3" ht="16.5" x14ac:dyDescent="0.35">
      <c r="A920" s="20"/>
      <c r="B920" s="20"/>
      <c r="C920" s="20"/>
    </row>
    <row r="921" spans="1:3" ht="16.5" x14ac:dyDescent="0.35">
      <c r="A921" s="20"/>
      <c r="B921" s="20"/>
      <c r="C921" s="20"/>
    </row>
    <row r="922" spans="1:3" ht="16.5" x14ac:dyDescent="0.35">
      <c r="A922" s="20"/>
      <c r="B922" s="20"/>
      <c r="C922" s="20"/>
    </row>
    <row r="923" spans="1:3" ht="16.5" x14ac:dyDescent="0.35">
      <c r="A923" s="20"/>
      <c r="B923" s="20"/>
      <c r="C923" s="20"/>
    </row>
    <row r="924" spans="1:3" ht="16.5" x14ac:dyDescent="0.35">
      <c r="A924" s="20"/>
      <c r="B924" s="20"/>
      <c r="C924" s="20"/>
    </row>
    <row r="925" spans="1:3" ht="16.5" x14ac:dyDescent="0.35">
      <c r="A925" s="20"/>
      <c r="B925" s="20"/>
      <c r="C925" s="20"/>
    </row>
    <row r="926" spans="1:3" ht="16.5" x14ac:dyDescent="0.35">
      <c r="A926" s="20"/>
      <c r="B926" s="20"/>
      <c r="C926" s="20"/>
    </row>
    <row r="927" spans="1:3" ht="16.5" x14ac:dyDescent="0.35">
      <c r="A927" s="20"/>
      <c r="B927" s="20"/>
      <c r="C927" s="20"/>
    </row>
    <row r="928" spans="1:3" ht="16.5" x14ac:dyDescent="0.35">
      <c r="A928" s="20"/>
      <c r="B928" s="20"/>
      <c r="C928" s="20"/>
    </row>
    <row r="929" spans="1:3" ht="16.5" x14ac:dyDescent="0.35">
      <c r="A929" s="20"/>
      <c r="B929" s="20"/>
      <c r="C929" s="20"/>
    </row>
    <row r="930" spans="1:3" ht="16.5" x14ac:dyDescent="0.35">
      <c r="A930" s="20"/>
      <c r="B930" s="20"/>
      <c r="C930" s="20"/>
    </row>
    <row r="931" spans="1:3" ht="16.5" x14ac:dyDescent="0.35">
      <c r="A931" s="20"/>
      <c r="B931" s="20"/>
      <c r="C931" s="20"/>
    </row>
    <row r="932" spans="1:3" ht="16.5" x14ac:dyDescent="0.35">
      <c r="A932" s="20"/>
      <c r="B932" s="20"/>
      <c r="C932" s="20"/>
    </row>
    <row r="933" spans="1:3" ht="16.5" x14ac:dyDescent="0.35">
      <c r="A933" s="20"/>
      <c r="B933" s="20"/>
      <c r="C933" s="20"/>
    </row>
    <row r="934" spans="1:3" ht="16.5" x14ac:dyDescent="0.35">
      <c r="A934" s="20"/>
      <c r="B934" s="20"/>
      <c r="C934" s="20"/>
    </row>
    <row r="935" spans="1:3" ht="16.5" x14ac:dyDescent="0.35">
      <c r="A935" s="20"/>
      <c r="B935" s="20"/>
      <c r="C935" s="20"/>
    </row>
    <row r="936" spans="1:3" ht="16.5" x14ac:dyDescent="0.35">
      <c r="A936" s="20"/>
      <c r="B936" s="20"/>
      <c r="C936" s="20"/>
    </row>
    <row r="937" spans="1:3" ht="16.5" x14ac:dyDescent="0.35">
      <c r="A937" s="20"/>
      <c r="B937" s="20"/>
      <c r="C937" s="20"/>
    </row>
    <row r="938" spans="1:3" ht="16.5" x14ac:dyDescent="0.35">
      <c r="A938" s="20"/>
      <c r="B938" s="20"/>
      <c r="C938" s="20"/>
    </row>
    <row r="939" spans="1:3" ht="16.5" x14ac:dyDescent="0.35">
      <c r="A939" s="20"/>
      <c r="B939" s="20"/>
      <c r="C939" s="20"/>
    </row>
    <row r="940" spans="1:3" ht="16.5" x14ac:dyDescent="0.35">
      <c r="A940" s="20"/>
      <c r="B940" s="20"/>
      <c r="C940" s="20"/>
    </row>
    <row r="941" spans="1:3" ht="16.5" x14ac:dyDescent="0.35">
      <c r="A941" s="20"/>
      <c r="B941" s="20"/>
      <c r="C941" s="20"/>
    </row>
    <row r="942" spans="1:3" ht="16.5" x14ac:dyDescent="0.35">
      <c r="A942" s="20"/>
      <c r="B942" s="20"/>
      <c r="C942" s="20"/>
    </row>
    <row r="943" spans="1:3" ht="16.5" x14ac:dyDescent="0.35">
      <c r="A943" s="20"/>
      <c r="B943" s="20"/>
      <c r="C943" s="20"/>
    </row>
    <row r="944" spans="1:3" ht="16.5" x14ac:dyDescent="0.35">
      <c r="A944" s="20"/>
      <c r="B944" s="20"/>
      <c r="C944" s="20"/>
    </row>
    <row r="945" spans="1:3" ht="16.5" x14ac:dyDescent="0.35">
      <c r="A945" s="20"/>
      <c r="B945" s="20"/>
      <c r="C945" s="20"/>
    </row>
    <row r="946" spans="1:3" ht="16.5" x14ac:dyDescent="0.35">
      <c r="A946" s="20"/>
      <c r="B946" s="20"/>
      <c r="C946" s="20"/>
    </row>
    <row r="947" spans="1:3" ht="16.5" x14ac:dyDescent="0.35">
      <c r="A947" s="20"/>
      <c r="B947" s="20"/>
      <c r="C947" s="20"/>
    </row>
    <row r="948" spans="1:3" ht="16.5" x14ac:dyDescent="0.35">
      <c r="A948" s="20"/>
      <c r="B948" s="20"/>
      <c r="C948" s="20"/>
    </row>
    <row r="949" spans="1:3" ht="16.5" x14ac:dyDescent="0.35">
      <c r="A949" s="20"/>
      <c r="B949" s="20"/>
      <c r="C949" s="20"/>
    </row>
    <row r="950" spans="1:3" ht="16.5" x14ac:dyDescent="0.35">
      <c r="A950" s="20"/>
      <c r="B950" s="20"/>
      <c r="C950" s="20"/>
    </row>
    <row r="951" spans="1:3" ht="16.5" x14ac:dyDescent="0.35">
      <c r="A951" s="20"/>
      <c r="B951" s="20"/>
      <c r="C951" s="20"/>
    </row>
    <row r="952" spans="1:3" ht="16.5" x14ac:dyDescent="0.35">
      <c r="A952" s="20"/>
      <c r="B952" s="20"/>
      <c r="C952" s="20"/>
    </row>
    <row r="953" spans="1:3" ht="16.5" x14ac:dyDescent="0.35">
      <c r="A953" s="20"/>
      <c r="B953" s="20"/>
      <c r="C953" s="20"/>
    </row>
    <row r="954" spans="1:3" ht="16.5" x14ac:dyDescent="0.35">
      <c r="A954" s="20"/>
      <c r="B954" s="20"/>
      <c r="C954" s="20"/>
    </row>
    <row r="955" spans="1:3" ht="16.5" x14ac:dyDescent="0.35">
      <c r="A955" s="20"/>
      <c r="B955" s="20"/>
      <c r="C955" s="20"/>
    </row>
    <row r="956" spans="1:3" ht="16.5" x14ac:dyDescent="0.35">
      <c r="A956" s="20"/>
      <c r="B956" s="20"/>
      <c r="C956" s="20"/>
    </row>
    <row r="957" spans="1:3" ht="16.5" x14ac:dyDescent="0.35">
      <c r="A957" s="20"/>
      <c r="B957" s="20"/>
      <c r="C957" s="20"/>
    </row>
    <row r="958" spans="1:3" ht="16.5" x14ac:dyDescent="0.35">
      <c r="A958" s="20"/>
      <c r="B958" s="20"/>
      <c r="C958" s="20"/>
    </row>
    <row r="959" spans="1:3" ht="16.5" x14ac:dyDescent="0.35">
      <c r="A959" s="20"/>
      <c r="B959" s="20"/>
      <c r="C959" s="20"/>
    </row>
    <row r="960" spans="1:3" ht="16.5" x14ac:dyDescent="0.35">
      <c r="A960" s="20"/>
      <c r="B960" s="20"/>
      <c r="C960" s="20"/>
    </row>
    <row r="961" spans="1:3" ht="16.5" x14ac:dyDescent="0.35">
      <c r="A961" s="20"/>
      <c r="B961" s="20"/>
      <c r="C961" s="20"/>
    </row>
    <row r="962" spans="1:3" ht="16.5" x14ac:dyDescent="0.35">
      <c r="A962" s="20"/>
      <c r="B962" s="20"/>
      <c r="C962" s="20"/>
    </row>
    <row r="963" spans="1:3" ht="16.5" x14ac:dyDescent="0.35">
      <c r="A963" s="20"/>
      <c r="B963" s="20"/>
      <c r="C963" s="20"/>
    </row>
    <row r="964" spans="1:3" ht="16.5" x14ac:dyDescent="0.35">
      <c r="A964" s="20"/>
      <c r="B964" s="20"/>
      <c r="C964" s="20"/>
    </row>
    <row r="965" spans="1:3" ht="16.5" x14ac:dyDescent="0.35">
      <c r="A965" s="20"/>
      <c r="B965" s="20"/>
      <c r="C965" s="20"/>
    </row>
    <row r="966" spans="1:3" ht="16.5" x14ac:dyDescent="0.35">
      <c r="A966" s="20"/>
      <c r="B966" s="20"/>
      <c r="C966" s="20"/>
    </row>
    <row r="967" spans="1:3" ht="16.5" x14ac:dyDescent="0.35">
      <c r="A967" s="20"/>
      <c r="B967" s="20"/>
      <c r="C967" s="20"/>
    </row>
    <row r="968" spans="1:3" ht="16.5" x14ac:dyDescent="0.35">
      <c r="A968" s="20"/>
      <c r="B968" s="20"/>
      <c r="C968" s="20"/>
    </row>
    <row r="969" spans="1:3" ht="16.5" x14ac:dyDescent="0.35">
      <c r="A969" s="20"/>
      <c r="B969" s="20"/>
      <c r="C969" s="20"/>
    </row>
    <row r="970" spans="1:3" ht="16.5" x14ac:dyDescent="0.35">
      <c r="A970" s="20"/>
      <c r="B970" s="20"/>
      <c r="C970" s="20"/>
    </row>
    <row r="971" spans="1:3" ht="16.5" x14ac:dyDescent="0.35">
      <c r="A971" s="20"/>
      <c r="B971" s="20"/>
      <c r="C971" s="20"/>
    </row>
    <row r="972" spans="1:3" ht="16.5" x14ac:dyDescent="0.35">
      <c r="A972" s="20"/>
      <c r="B972" s="20"/>
      <c r="C972" s="20"/>
    </row>
    <row r="973" spans="1:3" ht="16.5" x14ac:dyDescent="0.35">
      <c r="A973" s="20"/>
      <c r="B973" s="20"/>
      <c r="C973" s="20"/>
    </row>
    <row r="974" spans="1:3" ht="16.5" x14ac:dyDescent="0.35">
      <c r="A974" s="20"/>
      <c r="B974" s="20"/>
      <c r="C974" s="20"/>
    </row>
    <row r="975" spans="1:3" ht="16.5" x14ac:dyDescent="0.35">
      <c r="A975" s="20"/>
      <c r="B975" s="20"/>
      <c r="C975" s="20"/>
    </row>
    <row r="976" spans="1:3" ht="16.5" x14ac:dyDescent="0.35">
      <c r="A976" s="20"/>
      <c r="B976" s="20"/>
      <c r="C976" s="20"/>
    </row>
    <row r="977" spans="1:3" ht="16.5" x14ac:dyDescent="0.35">
      <c r="A977" s="20"/>
      <c r="B977" s="20"/>
      <c r="C977" s="20"/>
    </row>
    <row r="978" spans="1:3" ht="16.5" x14ac:dyDescent="0.35">
      <c r="A978" s="20"/>
      <c r="B978" s="20"/>
      <c r="C978" s="20"/>
    </row>
    <row r="979" spans="1:3" ht="16.5" x14ac:dyDescent="0.35">
      <c r="A979" s="20"/>
      <c r="B979" s="20"/>
      <c r="C979" s="20"/>
    </row>
    <row r="980" spans="1:3" ht="16.5" x14ac:dyDescent="0.35">
      <c r="A980" s="20"/>
      <c r="B980" s="20"/>
      <c r="C980" s="20"/>
    </row>
    <row r="981" spans="1:3" ht="16.5" x14ac:dyDescent="0.35">
      <c r="A981" s="20"/>
      <c r="B981" s="20"/>
      <c r="C981" s="20"/>
    </row>
    <row r="982" spans="1:3" ht="16.5" x14ac:dyDescent="0.35">
      <c r="A982" s="20"/>
      <c r="B982" s="20"/>
      <c r="C982" s="20"/>
    </row>
    <row r="983" spans="1:3" ht="16.5" x14ac:dyDescent="0.35">
      <c r="A983" s="20"/>
      <c r="B983" s="20"/>
      <c r="C983" s="20"/>
    </row>
    <row r="984" spans="1:3" ht="16.5" x14ac:dyDescent="0.35">
      <c r="A984" s="20"/>
      <c r="B984" s="20"/>
      <c r="C984" s="20"/>
    </row>
    <row r="985" spans="1:3" ht="16.5" x14ac:dyDescent="0.35">
      <c r="A985" s="20"/>
      <c r="B985" s="20"/>
      <c r="C985" s="20"/>
    </row>
    <row r="986" spans="1:3" ht="16.5" x14ac:dyDescent="0.35">
      <c r="A986" s="20"/>
      <c r="B986" s="20"/>
      <c r="C986" s="20"/>
    </row>
    <row r="987" spans="1:3" ht="16.5" x14ac:dyDescent="0.35">
      <c r="A987" s="20"/>
      <c r="B987" s="20"/>
      <c r="C987" s="20"/>
    </row>
    <row r="988" spans="1:3" ht="16.5" x14ac:dyDescent="0.35">
      <c r="A988" s="20"/>
      <c r="B988" s="20"/>
      <c r="C988" s="20"/>
    </row>
    <row r="989" spans="1:3" ht="16.5" x14ac:dyDescent="0.35">
      <c r="A989" s="20"/>
      <c r="B989" s="20"/>
      <c r="C989" s="20"/>
    </row>
    <row r="990" spans="1:3" ht="16.5" x14ac:dyDescent="0.35">
      <c r="A990" s="20"/>
      <c r="B990" s="20"/>
      <c r="C990" s="20"/>
    </row>
    <row r="991" spans="1:3" ht="16.5" x14ac:dyDescent="0.35">
      <c r="A991" s="20"/>
      <c r="B991" s="20"/>
      <c r="C991" s="20"/>
    </row>
    <row r="992" spans="1:3" ht="16.5" x14ac:dyDescent="0.35">
      <c r="A992" s="20"/>
      <c r="B992" s="20"/>
      <c r="C992" s="20"/>
    </row>
    <row r="993" spans="1:3" ht="16.5" x14ac:dyDescent="0.35">
      <c r="A993" s="20"/>
      <c r="B993" s="20"/>
      <c r="C993" s="20"/>
    </row>
    <row r="994" spans="1:3" ht="16.5" x14ac:dyDescent="0.35">
      <c r="A994" s="20"/>
      <c r="B994" s="20"/>
      <c r="C994" s="20"/>
    </row>
    <row r="995" spans="1:3" ht="16.5" x14ac:dyDescent="0.35">
      <c r="A995" s="20"/>
      <c r="B995" s="20"/>
      <c r="C995" s="20"/>
    </row>
    <row r="996" spans="1:3" ht="16.5" x14ac:dyDescent="0.35">
      <c r="A996" s="20"/>
      <c r="B996" s="20"/>
      <c r="C996" s="20"/>
    </row>
    <row r="997" spans="1:3" ht="16.5" x14ac:dyDescent="0.35">
      <c r="A997" s="20"/>
      <c r="B997" s="20"/>
      <c r="C997" s="20"/>
    </row>
    <row r="998" spans="1:3" ht="16.5" x14ac:dyDescent="0.35">
      <c r="A998" s="20"/>
      <c r="B998" s="20"/>
      <c r="C998" s="20"/>
    </row>
    <row r="999" spans="1:3" ht="16.5" x14ac:dyDescent="0.35">
      <c r="A999" s="20"/>
      <c r="B999" s="20"/>
      <c r="C999" s="20"/>
    </row>
    <row r="1000" spans="1:3" ht="16.5" x14ac:dyDescent="0.35">
      <c r="A1000" s="20"/>
      <c r="B1000" s="20"/>
      <c r="C1000" s="20"/>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summaryRight="0"/>
  </sheetPr>
  <dimension ref="A1:E1000"/>
  <sheetViews>
    <sheetView tabSelected="1" workbookViewId="0">
      <pane ySplit="1" topLeftCell="A2" activePane="bottomLeft" state="frozen"/>
      <selection pane="bottomLeft" activeCell="B3" sqref="B3"/>
    </sheetView>
  </sheetViews>
  <sheetFormatPr defaultColWidth="12.5703125" defaultRowHeight="15.75" customHeight="1" x14ac:dyDescent="0.2"/>
  <cols>
    <col min="1" max="1" width="53" customWidth="1"/>
    <col min="2" max="2" width="39.85546875" customWidth="1"/>
    <col min="4" max="4" width="56.140625" customWidth="1"/>
    <col min="5" max="5" width="42.140625" customWidth="1"/>
  </cols>
  <sheetData>
    <row r="1" spans="1:5" ht="15.75" customHeight="1" x14ac:dyDescent="0.4">
      <c r="A1" s="256" t="s">
        <v>2045</v>
      </c>
      <c r="B1" s="256" t="s">
        <v>2046</v>
      </c>
      <c r="C1" s="256" t="s">
        <v>70</v>
      </c>
      <c r="D1" s="256" t="s">
        <v>2047</v>
      </c>
      <c r="E1" s="256" t="s">
        <v>2048</v>
      </c>
    </row>
    <row r="2" spans="1:5" ht="15.75" customHeight="1" x14ac:dyDescent="0.35">
      <c r="A2" s="257"/>
      <c r="B2" s="257"/>
      <c r="C2" s="257"/>
      <c r="D2" s="257"/>
      <c r="E2" s="20"/>
    </row>
    <row r="3" spans="1:5" ht="15.75" customHeight="1" x14ac:dyDescent="0.35">
      <c r="A3" s="257"/>
      <c r="B3" s="20"/>
      <c r="C3" s="258"/>
      <c r="D3" s="257"/>
      <c r="E3" s="20"/>
    </row>
    <row r="4" spans="1:5" ht="15.75" customHeight="1" x14ac:dyDescent="0.35">
      <c r="A4" s="257"/>
      <c r="B4" s="20"/>
      <c r="C4" s="258"/>
      <c r="D4" s="257"/>
      <c r="E4" s="20"/>
    </row>
    <row r="5" spans="1:5" ht="15.75" customHeight="1" x14ac:dyDescent="0.35">
      <c r="A5" s="257"/>
      <c r="B5" s="20"/>
      <c r="C5" s="258"/>
      <c r="D5" s="257"/>
      <c r="E5" s="20"/>
    </row>
    <row r="6" spans="1:5" ht="15.75" customHeight="1" x14ac:dyDescent="0.35">
      <c r="A6" s="257"/>
      <c r="B6" s="20"/>
      <c r="C6" s="258"/>
      <c r="D6" s="257"/>
      <c r="E6" s="20"/>
    </row>
    <row r="7" spans="1:5" ht="15.75" customHeight="1" x14ac:dyDescent="0.35">
      <c r="A7" s="257"/>
      <c r="B7" s="20"/>
      <c r="C7" s="258"/>
      <c r="D7" s="257"/>
      <c r="E7" s="20"/>
    </row>
    <row r="8" spans="1:5" ht="15.75" customHeight="1" x14ac:dyDescent="0.35">
      <c r="A8" s="257"/>
      <c r="B8" s="20"/>
      <c r="C8" s="258"/>
      <c r="D8" s="257"/>
      <c r="E8" s="20"/>
    </row>
    <row r="9" spans="1:5" ht="15.75" customHeight="1" x14ac:dyDescent="0.35">
      <c r="A9" s="257"/>
      <c r="B9" s="20"/>
      <c r="C9" s="258"/>
      <c r="D9" s="257"/>
      <c r="E9" s="20"/>
    </row>
    <row r="10" spans="1:5" ht="15.75" customHeight="1" x14ac:dyDescent="0.35">
      <c r="A10" s="257"/>
      <c r="B10" s="20"/>
      <c r="C10" s="258"/>
      <c r="D10" s="257"/>
      <c r="E10" s="20"/>
    </row>
    <row r="11" spans="1:5" ht="15.75" customHeight="1" x14ac:dyDescent="0.35">
      <c r="A11" s="257"/>
      <c r="B11" s="20"/>
      <c r="C11" s="258"/>
      <c r="D11" s="257"/>
      <c r="E11" s="20"/>
    </row>
    <row r="12" spans="1:5" ht="15.75" customHeight="1" x14ac:dyDescent="0.35">
      <c r="A12" s="257"/>
      <c r="B12" s="20"/>
      <c r="C12" s="258"/>
      <c r="D12" s="257"/>
      <c r="E12" s="20"/>
    </row>
    <row r="13" spans="1:5" ht="15.75" customHeight="1" x14ac:dyDescent="0.35">
      <c r="A13" s="257"/>
      <c r="B13" s="20"/>
      <c r="C13" s="258"/>
      <c r="D13" s="257"/>
      <c r="E13" s="20"/>
    </row>
    <row r="14" spans="1:5" ht="15.75" customHeight="1" x14ac:dyDescent="0.35">
      <c r="A14" s="257"/>
      <c r="B14" s="20"/>
      <c r="C14" s="258"/>
      <c r="D14" s="257"/>
      <c r="E14" s="20"/>
    </row>
    <row r="15" spans="1:5" ht="15.75" customHeight="1" x14ac:dyDescent="0.35">
      <c r="A15" s="257"/>
      <c r="B15" s="20"/>
      <c r="C15" s="258"/>
      <c r="D15" s="257"/>
      <c r="E15" s="20"/>
    </row>
    <row r="16" spans="1:5" ht="15.75" customHeight="1" x14ac:dyDescent="0.35">
      <c r="A16" s="257"/>
      <c r="B16" s="20"/>
      <c r="C16" s="258"/>
      <c r="D16" s="257"/>
      <c r="E16" s="20"/>
    </row>
    <row r="17" spans="1:5" ht="15.75" customHeight="1" x14ac:dyDescent="0.35">
      <c r="A17" s="257"/>
      <c r="B17" s="20"/>
      <c r="C17" s="258"/>
      <c r="D17" s="257"/>
      <c r="E17" s="20"/>
    </row>
    <row r="18" spans="1:5" ht="15.75" customHeight="1" x14ac:dyDescent="0.35">
      <c r="A18" s="257"/>
      <c r="B18" s="20"/>
      <c r="C18" s="258"/>
      <c r="D18" s="257"/>
      <c r="E18" s="20"/>
    </row>
    <row r="19" spans="1:5" ht="15.75" customHeight="1" x14ac:dyDescent="0.35">
      <c r="A19" s="257"/>
      <c r="B19" s="20"/>
      <c r="C19" s="258"/>
      <c r="D19" s="257"/>
      <c r="E19" s="20"/>
    </row>
    <row r="20" spans="1:5" ht="15.75" customHeight="1" x14ac:dyDescent="0.35">
      <c r="A20" s="257"/>
      <c r="B20" s="20"/>
      <c r="C20" s="258"/>
      <c r="D20" s="257"/>
      <c r="E20" s="20"/>
    </row>
    <row r="21" spans="1:5" ht="15.75" customHeight="1" x14ac:dyDescent="0.35">
      <c r="A21" s="257"/>
      <c r="B21" s="20"/>
      <c r="C21" s="258"/>
      <c r="D21" s="257"/>
      <c r="E21" s="20"/>
    </row>
    <row r="22" spans="1:5" ht="15.75" customHeight="1" x14ac:dyDescent="0.35">
      <c r="A22" s="257"/>
      <c r="B22" s="20"/>
      <c r="C22" s="258"/>
      <c r="D22" s="257"/>
      <c r="E22" s="20"/>
    </row>
    <row r="23" spans="1:5" ht="15.75" customHeight="1" x14ac:dyDescent="0.35">
      <c r="A23" s="257"/>
      <c r="B23" s="20"/>
      <c r="C23" s="258"/>
      <c r="D23" s="257"/>
      <c r="E23" s="20"/>
    </row>
    <row r="24" spans="1:5" ht="16.5" x14ac:dyDescent="0.35">
      <c r="A24" s="257"/>
      <c r="B24" s="20"/>
      <c r="C24" s="258"/>
      <c r="D24" s="257"/>
      <c r="E24" s="20"/>
    </row>
    <row r="25" spans="1:5" ht="12.75" x14ac:dyDescent="0.2">
      <c r="A25" s="258"/>
      <c r="B25" s="258"/>
      <c r="C25" s="258"/>
      <c r="D25" s="258"/>
      <c r="E25" s="258"/>
    </row>
    <row r="26" spans="1:5" ht="12.75" x14ac:dyDescent="0.2">
      <c r="A26" s="258"/>
      <c r="B26" s="258"/>
      <c r="C26" s="258"/>
      <c r="D26" s="258"/>
      <c r="E26" s="258"/>
    </row>
    <row r="27" spans="1:5" ht="12.75" x14ac:dyDescent="0.2">
      <c r="A27" s="258"/>
      <c r="B27" s="258"/>
      <c r="C27" s="258"/>
      <c r="D27" s="258"/>
      <c r="E27" s="258"/>
    </row>
    <row r="28" spans="1:5" ht="12.75" x14ac:dyDescent="0.2">
      <c r="A28" s="258"/>
      <c r="B28" s="258"/>
      <c r="C28" s="258"/>
      <c r="D28" s="258"/>
      <c r="E28" s="258"/>
    </row>
    <row r="29" spans="1:5" ht="12.75" x14ac:dyDescent="0.2">
      <c r="A29" s="258"/>
      <c r="B29" s="258"/>
      <c r="C29" s="258"/>
      <c r="D29" s="258"/>
      <c r="E29" s="258"/>
    </row>
    <row r="30" spans="1:5" ht="12.75" x14ac:dyDescent="0.2">
      <c r="A30" s="258"/>
      <c r="B30" s="258"/>
      <c r="C30" s="258"/>
      <c r="D30" s="258"/>
      <c r="E30" s="258"/>
    </row>
    <row r="31" spans="1:5" ht="12.75" x14ac:dyDescent="0.2">
      <c r="A31" s="258"/>
      <c r="B31" s="258"/>
      <c r="C31" s="258"/>
      <c r="D31" s="258"/>
      <c r="E31" s="258"/>
    </row>
    <row r="32" spans="1:5" ht="12.75" x14ac:dyDescent="0.2">
      <c r="A32" s="258"/>
      <c r="B32" s="258"/>
      <c r="C32" s="258"/>
      <c r="D32" s="258"/>
      <c r="E32" s="258"/>
    </row>
    <row r="33" spans="1:5" ht="12.75" x14ac:dyDescent="0.2">
      <c r="A33" s="258"/>
      <c r="B33" s="258"/>
      <c r="C33" s="258"/>
      <c r="D33" s="258"/>
      <c r="E33" s="258"/>
    </row>
    <row r="34" spans="1:5" ht="12.75" x14ac:dyDescent="0.2">
      <c r="A34" s="258"/>
      <c r="B34" s="258"/>
      <c r="C34" s="258"/>
      <c r="D34" s="258"/>
      <c r="E34" s="258"/>
    </row>
    <row r="35" spans="1:5" ht="12.75" x14ac:dyDescent="0.2">
      <c r="A35" s="258"/>
      <c r="B35" s="258"/>
      <c r="C35" s="258"/>
      <c r="D35" s="258"/>
      <c r="E35" s="258"/>
    </row>
    <row r="36" spans="1:5" ht="12.75" x14ac:dyDescent="0.2">
      <c r="A36" s="258"/>
      <c r="B36" s="258"/>
      <c r="C36" s="258"/>
      <c r="D36" s="258"/>
      <c r="E36" s="258"/>
    </row>
    <row r="37" spans="1:5" ht="12.75" x14ac:dyDescent="0.2">
      <c r="A37" s="258"/>
      <c r="B37" s="258"/>
      <c r="C37" s="258"/>
      <c r="D37" s="258"/>
      <c r="E37" s="258"/>
    </row>
    <row r="38" spans="1:5" ht="12.75" x14ac:dyDescent="0.2">
      <c r="A38" s="258"/>
      <c r="B38" s="258"/>
      <c r="C38" s="258"/>
      <c r="D38" s="258"/>
      <c r="E38" s="258"/>
    </row>
    <row r="39" spans="1:5" ht="12.75" x14ac:dyDescent="0.2">
      <c r="A39" s="258"/>
      <c r="B39" s="258"/>
      <c r="C39" s="258"/>
      <c r="D39" s="258"/>
      <c r="E39" s="258"/>
    </row>
    <row r="40" spans="1:5" ht="12.75" x14ac:dyDescent="0.2">
      <c r="A40" s="258"/>
      <c r="B40" s="258"/>
      <c r="C40" s="258"/>
      <c r="D40" s="258"/>
      <c r="E40" s="258"/>
    </row>
    <row r="41" spans="1:5" ht="12.75" x14ac:dyDescent="0.2">
      <c r="A41" s="258"/>
      <c r="B41" s="258"/>
      <c r="C41" s="258"/>
      <c r="D41" s="258"/>
      <c r="E41" s="258"/>
    </row>
    <row r="42" spans="1:5" ht="12.75" x14ac:dyDescent="0.2">
      <c r="A42" s="258"/>
      <c r="B42" s="258"/>
      <c r="C42" s="258"/>
      <c r="D42" s="258"/>
      <c r="E42" s="258"/>
    </row>
    <row r="43" spans="1:5" ht="12.75" x14ac:dyDescent="0.2">
      <c r="A43" s="258"/>
      <c r="B43" s="258"/>
      <c r="C43" s="258"/>
      <c r="D43" s="258"/>
      <c r="E43" s="258"/>
    </row>
    <row r="44" spans="1:5" ht="12.75" x14ac:dyDescent="0.2">
      <c r="A44" s="258"/>
      <c r="B44" s="258"/>
      <c r="C44" s="258"/>
      <c r="D44" s="258"/>
      <c r="E44" s="258"/>
    </row>
    <row r="45" spans="1:5" ht="12.75" x14ac:dyDescent="0.2">
      <c r="A45" s="258"/>
      <c r="B45" s="258"/>
      <c r="C45" s="258"/>
      <c r="D45" s="258"/>
      <c r="E45" s="258"/>
    </row>
    <row r="46" spans="1:5" ht="12.75" x14ac:dyDescent="0.2">
      <c r="A46" s="258"/>
      <c r="B46" s="258"/>
      <c r="C46" s="258"/>
      <c r="D46" s="258"/>
      <c r="E46" s="258"/>
    </row>
    <row r="47" spans="1:5" ht="12.75" x14ac:dyDescent="0.2">
      <c r="A47" s="258"/>
      <c r="B47" s="258"/>
      <c r="C47" s="258"/>
      <c r="D47" s="258"/>
      <c r="E47" s="258"/>
    </row>
    <row r="48" spans="1:5" ht="12.75" x14ac:dyDescent="0.2">
      <c r="A48" s="258"/>
      <c r="B48" s="258"/>
      <c r="C48" s="258"/>
      <c r="D48" s="258"/>
      <c r="E48" s="258"/>
    </row>
    <row r="49" spans="1:5" ht="12.75" x14ac:dyDescent="0.2">
      <c r="A49" s="258"/>
      <c r="B49" s="258"/>
      <c r="C49" s="258"/>
      <c r="D49" s="258"/>
      <c r="E49" s="258"/>
    </row>
    <row r="50" spans="1:5" ht="12.75" x14ac:dyDescent="0.2">
      <c r="A50" s="258"/>
      <c r="B50" s="258"/>
      <c r="C50" s="258"/>
      <c r="D50" s="258"/>
      <c r="E50" s="258"/>
    </row>
    <row r="51" spans="1:5" ht="12.75" x14ac:dyDescent="0.2">
      <c r="A51" s="258"/>
      <c r="B51" s="258"/>
      <c r="C51" s="258"/>
      <c r="D51" s="258"/>
      <c r="E51" s="258"/>
    </row>
    <row r="52" spans="1:5" ht="12.75" x14ac:dyDescent="0.2">
      <c r="A52" s="258"/>
      <c r="B52" s="258"/>
      <c r="C52" s="258"/>
      <c r="D52" s="258"/>
      <c r="E52" s="258"/>
    </row>
    <row r="53" spans="1:5" ht="12.75" x14ac:dyDescent="0.2">
      <c r="A53" s="258"/>
      <c r="B53" s="258"/>
      <c r="C53" s="258"/>
      <c r="D53" s="258"/>
      <c r="E53" s="258"/>
    </row>
    <row r="54" spans="1:5" ht="12.75" x14ac:dyDescent="0.2">
      <c r="A54" s="258"/>
      <c r="B54" s="258"/>
      <c r="C54" s="258"/>
      <c r="D54" s="258"/>
      <c r="E54" s="258"/>
    </row>
    <row r="55" spans="1:5" ht="12.75" x14ac:dyDescent="0.2">
      <c r="A55" s="258"/>
      <c r="B55" s="258"/>
      <c r="C55" s="258"/>
      <c r="D55" s="258"/>
      <c r="E55" s="258"/>
    </row>
    <row r="56" spans="1:5" ht="12.75" x14ac:dyDescent="0.2">
      <c r="A56" s="258"/>
      <c r="B56" s="258"/>
      <c r="C56" s="258"/>
      <c r="D56" s="258"/>
      <c r="E56" s="258"/>
    </row>
    <row r="57" spans="1:5" ht="12.75" x14ac:dyDescent="0.2">
      <c r="A57" s="258"/>
      <c r="B57" s="258"/>
      <c r="C57" s="258"/>
      <c r="D57" s="258"/>
      <c r="E57" s="258"/>
    </row>
    <row r="58" spans="1:5" ht="12.75" x14ac:dyDescent="0.2">
      <c r="A58" s="258"/>
      <c r="B58" s="258"/>
      <c r="C58" s="258"/>
      <c r="D58" s="258"/>
      <c r="E58" s="258"/>
    </row>
    <row r="59" spans="1:5" ht="12.75" x14ac:dyDescent="0.2">
      <c r="A59" s="258"/>
      <c r="B59" s="258"/>
      <c r="C59" s="258"/>
      <c r="D59" s="258"/>
      <c r="E59" s="258"/>
    </row>
    <row r="60" spans="1:5" ht="12.75" x14ac:dyDescent="0.2">
      <c r="A60" s="258"/>
      <c r="B60" s="258"/>
      <c r="C60" s="258"/>
      <c r="D60" s="258"/>
      <c r="E60" s="258"/>
    </row>
    <row r="61" spans="1:5" ht="12.75" x14ac:dyDescent="0.2">
      <c r="A61" s="258"/>
      <c r="B61" s="258"/>
      <c r="C61" s="258"/>
      <c r="D61" s="258"/>
      <c r="E61" s="258"/>
    </row>
    <row r="62" spans="1:5" ht="12.75" x14ac:dyDescent="0.2">
      <c r="A62" s="258"/>
      <c r="B62" s="258"/>
      <c r="C62" s="258"/>
      <c r="D62" s="258"/>
      <c r="E62" s="258"/>
    </row>
    <row r="63" spans="1:5" ht="12.75" x14ac:dyDescent="0.2">
      <c r="A63" s="258"/>
      <c r="B63" s="258"/>
      <c r="C63" s="258"/>
      <c r="D63" s="258"/>
      <c r="E63" s="258"/>
    </row>
    <row r="64" spans="1:5" ht="12.75" x14ac:dyDescent="0.2">
      <c r="A64" s="258"/>
      <c r="B64" s="258"/>
      <c r="C64" s="258"/>
      <c r="D64" s="258"/>
      <c r="E64" s="258"/>
    </row>
    <row r="65" spans="1:5" ht="12.75" x14ac:dyDescent="0.2">
      <c r="A65" s="258"/>
      <c r="B65" s="258"/>
      <c r="C65" s="258"/>
      <c r="D65" s="258"/>
      <c r="E65" s="258"/>
    </row>
    <row r="66" spans="1:5" ht="12.75" x14ac:dyDescent="0.2">
      <c r="A66" s="258"/>
      <c r="B66" s="258"/>
      <c r="C66" s="258"/>
      <c r="D66" s="258"/>
      <c r="E66" s="258"/>
    </row>
    <row r="67" spans="1:5" ht="12.75" x14ac:dyDescent="0.2">
      <c r="A67" s="258"/>
      <c r="B67" s="258"/>
      <c r="C67" s="258"/>
      <c r="D67" s="258"/>
      <c r="E67" s="258"/>
    </row>
    <row r="68" spans="1:5" ht="12.75" x14ac:dyDescent="0.2">
      <c r="A68" s="258"/>
      <c r="B68" s="258"/>
      <c r="C68" s="258"/>
      <c r="D68" s="258"/>
      <c r="E68" s="258"/>
    </row>
    <row r="69" spans="1:5" ht="12.75" x14ac:dyDescent="0.2">
      <c r="A69" s="258"/>
      <c r="B69" s="258"/>
      <c r="C69" s="258"/>
      <c r="D69" s="258"/>
      <c r="E69" s="258"/>
    </row>
    <row r="70" spans="1:5" ht="12.75" x14ac:dyDescent="0.2">
      <c r="A70" s="258"/>
      <c r="B70" s="258"/>
      <c r="C70" s="258"/>
      <c r="D70" s="258"/>
      <c r="E70" s="258"/>
    </row>
    <row r="71" spans="1:5" ht="12.75" x14ac:dyDescent="0.2">
      <c r="A71" s="258"/>
      <c r="B71" s="258"/>
      <c r="C71" s="258"/>
      <c r="D71" s="258"/>
      <c r="E71" s="258"/>
    </row>
    <row r="72" spans="1:5" ht="12.75" x14ac:dyDescent="0.2">
      <c r="A72" s="258"/>
      <c r="B72" s="258"/>
      <c r="C72" s="258"/>
      <c r="D72" s="258"/>
      <c r="E72" s="258"/>
    </row>
    <row r="73" spans="1:5" ht="12.75" x14ac:dyDescent="0.2">
      <c r="A73" s="258"/>
      <c r="B73" s="258"/>
      <c r="C73" s="258"/>
      <c r="D73" s="258"/>
      <c r="E73" s="258"/>
    </row>
    <row r="74" spans="1:5" ht="12.75" x14ac:dyDescent="0.2">
      <c r="A74" s="258"/>
      <c r="B74" s="258"/>
      <c r="C74" s="258"/>
      <c r="D74" s="258"/>
      <c r="E74" s="258"/>
    </row>
    <row r="75" spans="1:5" ht="12.75" x14ac:dyDescent="0.2">
      <c r="A75" s="258"/>
      <c r="B75" s="258"/>
      <c r="C75" s="258"/>
      <c r="D75" s="258"/>
      <c r="E75" s="258"/>
    </row>
    <row r="76" spans="1:5" ht="12.75" x14ac:dyDescent="0.2">
      <c r="A76" s="258"/>
      <c r="B76" s="258"/>
      <c r="C76" s="258"/>
      <c r="D76" s="258"/>
      <c r="E76" s="258"/>
    </row>
    <row r="77" spans="1:5" ht="12.75" x14ac:dyDescent="0.2">
      <c r="A77" s="258"/>
      <c r="B77" s="258"/>
      <c r="C77" s="258"/>
      <c r="D77" s="258"/>
      <c r="E77" s="258"/>
    </row>
    <row r="78" spans="1:5" ht="12.75" x14ac:dyDescent="0.2">
      <c r="A78" s="258"/>
      <c r="B78" s="258"/>
      <c r="C78" s="258"/>
      <c r="D78" s="258"/>
      <c r="E78" s="258"/>
    </row>
    <row r="79" spans="1:5" ht="12.75" x14ac:dyDescent="0.2">
      <c r="A79" s="258"/>
      <c r="B79" s="258"/>
      <c r="C79" s="258"/>
      <c r="D79" s="258"/>
      <c r="E79" s="258"/>
    </row>
    <row r="80" spans="1:5" ht="12.75" x14ac:dyDescent="0.2">
      <c r="A80" s="258"/>
      <c r="B80" s="258"/>
      <c r="C80" s="258"/>
      <c r="D80" s="258"/>
      <c r="E80" s="258"/>
    </row>
    <row r="81" spans="1:5" ht="12.75" x14ac:dyDescent="0.2">
      <c r="A81" s="258"/>
      <c r="B81" s="258"/>
      <c r="C81" s="258"/>
      <c r="D81" s="258"/>
      <c r="E81" s="258"/>
    </row>
    <row r="82" spans="1:5" ht="12.75" x14ac:dyDescent="0.2">
      <c r="A82" s="258"/>
      <c r="B82" s="258"/>
      <c r="C82" s="258"/>
      <c r="D82" s="258"/>
      <c r="E82" s="258"/>
    </row>
    <row r="83" spans="1:5" ht="12.75" x14ac:dyDescent="0.2">
      <c r="A83" s="258"/>
      <c r="B83" s="258"/>
      <c r="C83" s="258"/>
      <c r="D83" s="258"/>
      <c r="E83" s="258"/>
    </row>
    <row r="84" spans="1:5" ht="12.75" x14ac:dyDescent="0.2">
      <c r="A84" s="258"/>
      <c r="B84" s="258"/>
      <c r="C84" s="258"/>
      <c r="D84" s="258"/>
      <c r="E84" s="258"/>
    </row>
    <row r="85" spans="1:5" ht="12.75" x14ac:dyDescent="0.2">
      <c r="A85" s="258"/>
      <c r="B85" s="258"/>
      <c r="C85" s="258"/>
      <c r="D85" s="258"/>
      <c r="E85" s="258"/>
    </row>
    <row r="86" spans="1:5" ht="12.75" x14ac:dyDescent="0.2">
      <c r="A86" s="258"/>
      <c r="B86" s="258"/>
      <c r="C86" s="258"/>
      <c r="D86" s="258"/>
      <c r="E86" s="258"/>
    </row>
    <row r="87" spans="1:5" ht="12.75" x14ac:dyDescent="0.2">
      <c r="A87" s="258"/>
      <c r="B87" s="258"/>
      <c r="C87" s="258"/>
      <c r="D87" s="258"/>
      <c r="E87" s="258"/>
    </row>
    <row r="88" spans="1:5" ht="12.75" x14ac:dyDescent="0.2">
      <c r="A88" s="258"/>
      <c r="B88" s="258"/>
      <c r="C88" s="258"/>
      <c r="D88" s="258"/>
      <c r="E88" s="258"/>
    </row>
    <row r="89" spans="1:5" ht="12.75" x14ac:dyDescent="0.2">
      <c r="A89" s="258"/>
      <c r="B89" s="258"/>
      <c r="C89" s="258"/>
      <c r="D89" s="258"/>
      <c r="E89" s="258"/>
    </row>
    <row r="90" spans="1:5" ht="12.75" x14ac:dyDescent="0.2">
      <c r="A90" s="258"/>
      <c r="B90" s="258"/>
      <c r="C90" s="258"/>
      <c r="D90" s="258"/>
      <c r="E90" s="258"/>
    </row>
    <row r="91" spans="1:5" ht="12.75" x14ac:dyDescent="0.2">
      <c r="A91" s="258"/>
      <c r="B91" s="258"/>
      <c r="C91" s="258"/>
      <c r="D91" s="258"/>
      <c r="E91" s="258"/>
    </row>
    <row r="92" spans="1:5" ht="12.75" x14ac:dyDescent="0.2">
      <c r="A92" s="258"/>
      <c r="B92" s="258"/>
      <c r="C92" s="258"/>
      <c r="D92" s="258"/>
      <c r="E92" s="258"/>
    </row>
    <row r="93" spans="1:5" ht="12.75" x14ac:dyDescent="0.2">
      <c r="A93" s="258"/>
      <c r="B93" s="258"/>
      <c r="C93" s="258"/>
      <c r="D93" s="258"/>
      <c r="E93" s="258"/>
    </row>
    <row r="94" spans="1:5" ht="12.75" x14ac:dyDescent="0.2">
      <c r="A94" s="258"/>
      <c r="B94" s="258"/>
      <c r="C94" s="258"/>
      <c r="D94" s="258"/>
      <c r="E94" s="258"/>
    </row>
    <row r="95" spans="1:5" ht="12.75" x14ac:dyDescent="0.2">
      <c r="A95" s="258"/>
      <c r="B95" s="258"/>
      <c r="C95" s="258"/>
      <c r="D95" s="258"/>
      <c r="E95" s="258"/>
    </row>
    <row r="96" spans="1:5" ht="12.75" x14ac:dyDescent="0.2">
      <c r="A96" s="258"/>
      <c r="B96" s="258"/>
      <c r="C96" s="258"/>
      <c r="D96" s="258"/>
      <c r="E96" s="258"/>
    </row>
    <row r="97" spans="1:5" ht="12.75" x14ac:dyDescent="0.2">
      <c r="A97" s="258"/>
      <c r="B97" s="258"/>
      <c r="C97" s="258"/>
      <c r="D97" s="258"/>
      <c r="E97" s="258"/>
    </row>
    <row r="98" spans="1:5" ht="12.75" x14ac:dyDescent="0.2">
      <c r="A98" s="258"/>
      <c r="B98" s="258"/>
      <c r="C98" s="258"/>
      <c r="D98" s="258"/>
      <c r="E98" s="258"/>
    </row>
    <row r="99" spans="1:5" ht="12.75" x14ac:dyDescent="0.2">
      <c r="A99" s="258"/>
      <c r="B99" s="258"/>
      <c r="C99" s="258"/>
      <c r="D99" s="258"/>
      <c r="E99" s="258"/>
    </row>
    <row r="100" spans="1:5" ht="12.75" x14ac:dyDescent="0.2">
      <c r="A100" s="258"/>
      <c r="B100" s="258"/>
      <c r="C100" s="258"/>
      <c r="D100" s="258"/>
      <c r="E100" s="258"/>
    </row>
    <row r="101" spans="1:5" ht="12.75" x14ac:dyDescent="0.2">
      <c r="A101" s="258"/>
      <c r="B101" s="258"/>
      <c r="C101" s="258"/>
      <c r="D101" s="258"/>
      <c r="E101" s="258"/>
    </row>
    <row r="102" spans="1:5" ht="12.75" x14ac:dyDescent="0.2">
      <c r="A102" s="258"/>
      <c r="B102" s="258"/>
      <c r="C102" s="258"/>
      <c r="D102" s="258"/>
      <c r="E102" s="258"/>
    </row>
    <row r="103" spans="1:5" ht="12.75" x14ac:dyDescent="0.2">
      <c r="A103" s="258"/>
      <c r="B103" s="258"/>
      <c r="C103" s="258"/>
      <c r="D103" s="258"/>
      <c r="E103" s="258"/>
    </row>
    <row r="104" spans="1:5" ht="12.75" x14ac:dyDescent="0.2">
      <c r="A104" s="258"/>
      <c r="B104" s="258"/>
      <c r="C104" s="258"/>
      <c r="D104" s="258"/>
      <c r="E104" s="258"/>
    </row>
    <row r="105" spans="1:5" ht="12.75" x14ac:dyDescent="0.2">
      <c r="A105" s="258"/>
      <c r="B105" s="258"/>
      <c r="C105" s="258"/>
      <c r="D105" s="258"/>
      <c r="E105" s="258"/>
    </row>
    <row r="106" spans="1:5" ht="12.75" x14ac:dyDescent="0.2">
      <c r="A106" s="258"/>
      <c r="B106" s="258"/>
      <c r="C106" s="258"/>
      <c r="D106" s="258"/>
      <c r="E106" s="258"/>
    </row>
    <row r="107" spans="1:5" ht="12.75" x14ac:dyDescent="0.2">
      <c r="A107" s="258"/>
      <c r="B107" s="258"/>
      <c r="C107" s="258"/>
      <c r="D107" s="258"/>
      <c r="E107" s="258"/>
    </row>
    <row r="108" spans="1:5" ht="12.75" x14ac:dyDescent="0.2">
      <c r="A108" s="258"/>
      <c r="B108" s="258"/>
      <c r="C108" s="258"/>
      <c r="D108" s="258"/>
      <c r="E108" s="258"/>
    </row>
    <row r="109" spans="1:5" ht="12.75" x14ac:dyDescent="0.2">
      <c r="A109" s="258"/>
      <c r="B109" s="258"/>
      <c r="C109" s="258"/>
      <c r="D109" s="258"/>
      <c r="E109" s="258"/>
    </row>
    <row r="110" spans="1:5" ht="12.75" x14ac:dyDescent="0.2">
      <c r="A110" s="258"/>
      <c r="B110" s="258"/>
      <c r="C110" s="258"/>
      <c r="D110" s="258"/>
      <c r="E110" s="258"/>
    </row>
    <row r="111" spans="1:5" ht="12.75" x14ac:dyDescent="0.2">
      <c r="A111" s="258"/>
      <c r="B111" s="258"/>
      <c r="C111" s="258"/>
      <c r="D111" s="258"/>
      <c r="E111" s="258"/>
    </row>
    <row r="112" spans="1:5" ht="12.75" x14ac:dyDescent="0.2">
      <c r="A112" s="258"/>
      <c r="B112" s="258"/>
      <c r="C112" s="258"/>
      <c r="D112" s="258"/>
      <c r="E112" s="258"/>
    </row>
    <row r="113" spans="1:5" ht="12.75" x14ac:dyDescent="0.2">
      <c r="A113" s="258"/>
      <c r="B113" s="258"/>
      <c r="C113" s="258"/>
      <c r="D113" s="258"/>
      <c r="E113" s="258"/>
    </row>
    <row r="114" spans="1:5" ht="12.75" x14ac:dyDescent="0.2">
      <c r="A114" s="258"/>
      <c r="B114" s="258"/>
      <c r="C114" s="258"/>
      <c r="D114" s="258"/>
      <c r="E114" s="258"/>
    </row>
    <row r="115" spans="1:5" ht="12.75" x14ac:dyDescent="0.2">
      <c r="A115" s="258"/>
      <c r="B115" s="258"/>
      <c r="C115" s="258"/>
      <c r="D115" s="258"/>
      <c r="E115" s="258"/>
    </row>
    <row r="116" spans="1:5" ht="12.75" x14ac:dyDescent="0.2">
      <c r="A116" s="258"/>
      <c r="B116" s="258"/>
      <c r="C116" s="258"/>
      <c r="D116" s="258"/>
      <c r="E116" s="258"/>
    </row>
    <row r="117" spans="1:5" ht="12.75" x14ac:dyDescent="0.2">
      <c r="A117" s="258"/>
      <c r="B117" s="258"/>
      <c r="C117" s="258"/>
      <c r="D117" s="258"/>
      <c r="E117" s="258"/>
    </row>
    <row r="118" spans="1:5" ht="12.75" x14ac:dyDescent="0.2">
      <c r="A118" s="258"/>
      <c r="B118" s="258"/>
      <c r="C118" s="258"/>
      <c r="D118" s="258"/>
      <c r="E118" s="258"/>
    </row>
    <row r="119" spans="1:5" ht="12.75" x14ac:dyDescent="0.2">
      <c r="A119" s="258"/>
      <c r="B119" s="258"/>
      <c r="C119" s="258"/>
      <c r="D119" s="258"/>
      <c r="E119" s="258"/>
    </row>
    <row r="120" spans="1:5" ht="12.75" x14ac:dyDescent="0.2">
      <c r="A120" s="258"/>
      <c r="B120" s="258"/>
      <c r="C120" s="258"/>
      <c r="D120" s="258"/>
      <c r="E120" s="258"/>
    </row>
    <row r="121" spans="1:5" ht="12.75" x14ac:dyDescent="0.2">
      <c r="A121" s="258"/>
      <c r="B121" s="258"/>
      <c r="C121" s="258"/>
      <c r="D121" s="258"/>
      <c r="E121" s="258"/>
    </row>
    <row r="122" spans="1:5" ht="12.75" x14ac:dyDescent="0.2">
      <c r="A122" s="258"/>
      <c r="B122" s="258"/>
      <c r="C122" s="258"/>
      <c r="D122" s="258"/>
      <c r="E122" s="258"/>
    </row>
    <row r="123" spans="1:5" ht="12.75" x14ac:dyDescent="0.2">
      <c r="A123" s="258"/>
      <c r="B123" s="258"/>
      <c r="C123" s="258"/>
      <c r="D123" s="258"/>
      <c r="E123" s="258"/>
    </row>
    <row r="124" spans="1:5" ht="12.75" x14ac:dyDescent="0.2">
      <c r="A124" s="258"/>
      <c r="B124" s="258"/>
      <c r="C124" s="258"/>
      <c r="D124" s="258"/>
      <c r="E124" s="258"/>
    </row>
    <row r="125" spans="1:5" ht="12.75" x14ac:dyDescent="0.2">
      <c r="A125" s="258"/>
      <c r="B125" s="258"/>
      <c r="C125" s="258"/>
      <c r="D125" s="258"/>
      <c r="E125" s="258"/>
    </row>
    <row r="126" spans="1:5" ht="12.75" x14ac:dyDescent="0.2">
      <c r="A126" s="258"/>
      <c r="B126" s="258"/>
      <c r="C126" s="258"/>
      <c r="D126" s="258"/>
      <c r="E126" s="258"/>
    </row>
    <row r="127" spans="1:5" ht="12.75" x14ac:dyDescent="0.2">
      <c r="A127" s="258"/>
      <c r="B127" s="258"/>
      <c r="C127" s="258"/>
      <c r="D127" s="258"/>
      <c r="E127" s="258"/>
    </row>
    <row r="128" spans="1:5" ht="12.75" x14ac:dyDescent="0.2">
      <c r="A128" s="258"/>
      <c r="B128" s="258"/>
      <c r="C128" s="258"/>
      <c r="D128" s="258"/>
      <c r="E128" s="258"/>
    </row>
    <row r="129" spans="1:5" ht="12.75" x14ac:dyDescent="0.2">
      <c r="A129" s="258"/>
      <c r="B129" s="258"/>
      <c r="C129" s="258"/>
      <c r="D129" s="258"/>
      <c r="E129" s="258"/>
    </row>
    <row r="130" spans="1:5" ht="12.75" x14ac:dyDescent="0.2">
      <c r="A130" s="258"/>
      <c r="B130" s="258"/>
      <c r="C130" s="258"/>
      <c r="D130" s="258"/>
      <c r="E130" s="258"/>
    </row>
    <row r="131" spans="1:5" ht="12.75" x14ac:dyDescent="0.2">
      <c r="A131" s="258"/>
      <c r="B131" s="258"/>
      <c r="C131" s="258"/>
      <c r="D131" s="258"/>
      <c r="E131" s="258"/>
    </row>
    <row r="132" spans="1:5" ht="12.75" x14ac:dyDescent="0.2">
      <c r="A132" s="258"/>
      <c r="B132" s="258"/>
      <c r="C132" s="258"/>
      <c r="D132" s="258"/>
      <c r="E132" s="258"/>
    </row>
    <row r="133" spans="1:5" ht="12.75" x14ac:dyDescent="0.2">
      <c r="A133" s="258"/>
      <c r="B133" s="258"/>
      <c r="C133" s="258"/>
      <c r="D133" s="258"/>
      <c r="E133" s="258"/>
    </row>
    <row r="134" spans="1:5" ht="12.75" x14ac:dyDescent="0.2">
      <c r="A134" s="258"/>
      <c r="B134" s="258"/>
      <c r="C134" s="258"/>
      <c r="D134" s="258"/>
      <c r="E134" s="258"/>
    </row>
    <row r="135" spans="1:5" ht="12.75" x14ac:dyDescent="0.2">
      <c r="A135" s="258"/>
      <c r="B135" s="258"/>
      <c r="C135" s="258"/>
      <c r="D135" s="258"/>
      <c r="E135" s="258"/>
    </row>
    <row r="136" spans="1:5" ht="12.75" x14ac:dyDescent="0.2">
      <c r="A136" s="258"/>
      <c r="B136" s="258"/>
      <c r="C136" s="258"/>
      <c r="D136" s="258"/>
      <c r="E136" s="258"/>
    </row>
    <row r="137" spans="1:5" ht="12.75" x14ac:dyDescent="0.2">
      <c r="A137" s="258"/>
      <c r="B137" s="258"/>
      <c r="C137" s="258"/>
      <c r="D137" s="258"/>
      <c r="E137" s="258"/>
    </row>
    <row r="138" spans="1:5" ht="12.75" x14ac:dyDescent="0.2">
      <c r="A138" s="258"/>
      <c r="B138" s="258"/>
      <c r="C138" s="258"/>
      <c r="D138" s="258"/>
      <c r="E138" s="258"/>
    </row>
    <row r="139" spans="1:5" ht="12.75" x14ac:dyDescent="0.2">
      <c r="A139" s="258"/>
      <c r="B139" s="258"/>
      <c r="C139" s="258"/>
      <c r="D139" s="258"/>
      <c r="E139" s="258"/>
    </row>
    <row r="140" spans="1:5" ht="12.75" x14ac:dyDescent="0.2">
      <c r="A140" s="258"/>
      <c r="B140" s="258"/>
      <c r="C140" s="258"/>
      <c r="D140" s="258"/>
      <c r="E140" s="258"/>
    </row>
    <row r="141" spans="1:5" ht="12.75" x14ac:dyDescent="0.2">
      <c r="A141" s="258"/>
      <c r="B141" s="258"/>
      <c r="C141" s="258"/>
      <c r="D141" s="258"/>
      <c r="E141" s="258"/>
    </row>
    <row r="142" spans="1:5" ht="12.75" x14ac:dyDescent="0.2">
      <c r="A142" s="258"/>
      <c r="B142" s="258"/>
      <c r="C142" s="258"/>
      <c r="D142" s="258"/>
      <c r="E142" s="258"/>
    </row>
    <row r="143" spans="1:5" ht="12.75" x14ac:dyDescent="0.2">
      <c r="A143" s="258"/>
      <c r="B143" s="258"/>
      <c r="C143" s="258"/>
      <c r="D143" s="258"/>
      <c r="E143" s="258"/>
    </row>
    <row r="144" spans="1:5" ht="12.75" x14ac:dyDescent="0.2">
      <c r="A144" s="258"/>
      <c r="B144" s="258"/>
      <c r="C144" s="258"/>
      <c r="D144" s="258"/>
      <c r="E144" s="258"/>
    </row>
    <row r="145" spans="1:5" ht="12.75" x14ac:dyDescent="0.2">
      <c r="A145" s="258"/>
      <c r="B145" s="258"/>
      <c r="C145" s="258"/>
      <c r="D145" s="258"/>
      <c r="E145" s="258"/>
    </row>
    <row r="146" spans="1:5" ht="12.75" x14ac:dyDescent="0.2">
      <c r="A146" s="258"/>
      <c r="B146" s="258"/>
      <c r="C146" s="258"/>
      <c r="D146" s="258"/>
      <c r="E146" s="258"/>
    </row>
    <row r="147" spans="1:5" ht="12.75" x14ac:dyDescent="0.2">
      <c r="A147" s="258"/>
      <c r="B147" s="258"/>
      <c r="C147" s="258"/>
      <c r="D147" s="258"/>
      <c r="E147" s="258"/>
    </row>
    <row r="148" spans="1:5" ht="12.75" x14ac:dyDescent="0.2">
      <c r="A148" s="258"/>
      <c r="B148" s="258"/>
      <c r="C148" s="258"/>
      <c r="D148" s="258"/>
      <c r="E148" s="258"/>
    </row>
    <row r="149" spans="1:5" ht="12.75" x14ac:dyDescent="0.2">
      <c r="A149" s="258"/>
      <c r="B149" s="258"/>
      <c r="C149" s="258"/>
      <c r="D149" s="258"/>
      <c r="E149" s="258"/>
    </row>
    <row r="150" spans="1:5" ht="12.75" x14ac:dyDescent="0.2">
      <c r="A150" s="258"/>
      <c r="B150" s="258"/>
      <c r="C150" s="258"/>
      <c r="D150" s="258"/>
      <c r="E150" s="258"/>
    </row>
    <row r="151" spans="1:5" ht="12.75" x14ac:dyDescent="0.2">
      <c r="A151" s="258"/>
      <c r="B151" s="258"/>
      <c r="C151" s="258"/>
      <c r="D151" s="258"/>
      <c r="E151" s="258"/>
    </row>
    <row r="152" spans="1:5" ht="12.75" x14ac:dyDescent="0.2">
      <c r="A152" s="258"/>
      <c r="B152" s="258"/>
      <c r="C152" s="258"/>
      <c r="D152" s="258"/>
      <c r="E152" s="258"/>
    </row>
    <row r="153" spans="1:5" ht="12.75" x14ac:dyDescent="0.2">
      <c r="A153" s="258"/>
      <c r="B153" s="258"/>
      <c r="C153" s="258"/>
      <c r="D153" s="258"/>
      <c r="E153" s="258"/>
    </row>
    <row r="154" spans="1:5" ht="12.75" x14ac:dyDescent="0.2">
      <c r="A154" s="258"/>
      <c r="B154" s="258"/>
      <c r="C154" s="258"/>
      <c r="D154" s="258"/>
      <c r="E154" s="258"/>
    </row>
    <row r="155" spans="1:5" ht="12.75" x14ac:dyDescent="0.2">
      <c r="A155" s="258"/>
      <c r="B155" s="258"/>
      <c r="C155" s="258"/>
      <c r="D155" s="258"/>
      <c r="E155" s="258"/>
    </row>
    <row r="156" spans="1:5" ht="12.75" x14ac:dyDescent="0.2">
      <c r="A156" s="258"/>
      <c r="B156" s="258"/>
      <c r="C156" s="258"/>
      <c r="D156" s="258"/>
      <c r="E156" s="258"/>
    </row>
    <row r="157" spans="1:5" ht="12.75" x14ac:dyDescent="0.2">
      <c r="A157" s="258"/>
      <c r="B157" s="258"/>
      <c r="C157" s="258"/>
      <c r="D157" s="258"/>
      <c r="E157" s="258"/>
    </row>
    <row r="158" spans="1:5" ht="12.75" x14ac:dyDescent="0.2">
      <c r="A158" s="258"/>
      <c r="B158" s="258"/>
      <c r="C158" s="258"/>
      <c r="D158" s="258"/>
      <c r="E158" s="258"/>
    </row>
    <row r="159" spans="1:5" ht="12.75" x14ac:dyDescent="0.2">
      <c r="A159" s="258"/>
      <c r="B159" s="258"/>
      <c r="C159" s="258"/>
      <c r="D159" s="258"/>
      <c r="E159" s="258"/>
    </row>
    <row r="160" spans="1:5" ht="12.75" x14ac:dyDescent="0.2">
      <c r="A160" s="258"/>
      <c r="B160" s="258"/>
      <c r="C160" s="258"/>
      <c r="D160" s="258"/>
      <c r="E160" s="258"/>
    </row>
    <row r="161" spans="1:5" ht="12.75" x14ac:dyDescent="0.2">
      <c r="A161" s="258"/>
      <c r="B161" s="258"/>
      <c r="C161" s="258"/>
      <c r="D161" s="258"/>
      <c r="E161" s="258"/>
    </row>
    <row r="162" spans="1:5" ht="12.75" x14ac:dyDescent="0.2">
      <c r="A162" s="258"/>
      <c r="B162" s="258"/>
      <c r="C162" s="258"/>
      <c r="D162" s="258"/>
      <c r="E162" s="258"/>
    </row>
    <row r="163" spans="1:5" ht="12.75" x14ac:dyDescent="0.2">
      <c r="A163" s="258"/>
      <c r="B163" s="258"/>
      <c r="C163" s="258"/>
      <c r="D163" s="258"/>
      <c r="E163" s="258"/>
    </row>
    <row r="164" spans="1:5" ht="12.75" x14ac:dyDescent="0.2">
      <c r="A164" s="258"/>
      <c r="B164" s="258"/>
      <c r="C164" s="258"/>
      <c r="D164" s="258"/>
      <c r="E164" s="258"/>
    </row>
    <row r="165" spans="1:5" ht="12.75" x14ac:dyDescent="0.2">
      <c r="A165" s="258"/>
      <c r="B165" s="258"/>
      <c r="C165" s="258"/>
      <c r="D165" s="258"/>
      <c r="E165" s="258"/>
    </row>
    <row r="166" spans="1:5" ht="12.75" x14ac:dyDescent="0.2">
      <c r="A166" s="258"/>
      <c r="B166" s="258"/>
      <c r="C166" s="258"/>
      <c r="D166" s="258"/>
      <c r="E166" s="258"/>
    </row>
    <row r="167" spans="1:5" ht="12.75" x14ac:dyDescent="0.2">
      <c r="A167" s="258"/>
      <c r="B167" s="258"/>
      <c r="C167" s="258"/>
      <c r="D167" s="258"/>
      <c r="E167" s="258"/>
    </row>
    <row r="168" spans="1:5" ht="12.75" x14ac:dyDescent="0.2">
      <c r="A168" s="258"/>
      <c r="B168" s="258"/>
      <c r="C168" s="258"/>
      <c r="D168" s="258"/>
      <c r="E168" s="258"/>
    </row>
    <row r="169" spans="1:5" ht="12.75" x14ac:dyDescent="0.2">
      <c r="A169" s="258"/>
      <c r="B169" s="258"/>
      <c r="C169" s="258"/>
      <c r="D169" s="258"/>
      <c r="E169" s="258"/>
    </row>
    <row r="170" spans="1:5" ht="12.75" x14ac:dyDescent="0.2">
      <c r="A170" s="258"/>
      <c r="B170" s="258"/>
      <c r="C170" s="258"/>
      <c r="D170" s="258"/>
      <c r="E170" s="258"/>
    </row>
    <row r="171" spans="1:5" ht="12.75" x14ac:dyDescent="0.2">
      <c r="A171" s="258"/>
      <c r="B171" s="258"/>
      <c r="C171" s="258"/>
      <c r="D171" s="258"/>
      <c r="E171" s="258"/>
    </row>
    <row r="172" spans="1:5" ht="12.75" x14ac:dyDescent="0.2">
      <c r="A172" s="258"/>
      <c r="B172" s="258"/>
      <c r="C172" s="258"/>
      <c r="D172" s="258"/>
      <c r="E172" s="258"/>
    </row>
    <row r="173" spans="1:5" ht="12.75" x14ac:dyDescent="0.2">
      <c r="A173" s="258"/>
      <c r="B173" s="258"/>
      <c r="C173" s="258"/>
      <c r="D173" s="258"/>
      <c r="E173" s="258"/>
    </row>
    <row r="174" spans="1:5" ht="12.75" x14ac:dyDescent="0.2">
      <c r="A174" s="258"/>
      <c r="B174" s="258"/>
      <c r="C174" s="258"/>
      <c r="D174" s="258"/>
      <c r="E174" s="258"/>
    </row>
    <row r="175" spans="1:5" ht="12.75" x14ac:dyDescent="0.2">
      <c r="A175" s="258"/>
      <c r="B175" s="258"/>
      <c r="C175" s="258"/>
      <c r="D175" s="258"/>
      <c r="E175" s="258"/>
    </row>
    <row r="176" spans="1:5" ht="12.75" x14ac:dyDescent="0.2">
      <c r="A176" s="258"/>
      <c r="B176" s="258"/>
      <c r="C176" s="258"/>
      <c r="D176" s="258"/>
      <c r="E176" s="258"/>
    </row>
    <row r="177" spans="1:5" ht="12.75" x14ac:dyDescent="0.2">
      <c r="A177" s="258"/>
      <c r="B177" s="258"/>
      <c r="C177" s="258"/>
      <c r="D177" s="258"/>
      <c r="E177" s="258"/>
    </row>
    <row r="178" spans="1:5" ht="12.75" x14ac:dyDescent="0.2">
      <c r="A178" s="258"/>
      <c r="B178" s="258"/>
      <c r="C178" s="258"/>
      <c r="D178" s="258"/>
      <c r="E178" s="258"/>
    </row>
    <row r="179" spans="1:5" ht="12.75" x14ac:dyDescent="0.2">
      <c r="A179" s="258"/>
      <c r="B179" s="258"/>
      <c r="C179" s="258"/>
      <c r="D179" s="258"/>
      <c r="E179" s="258"/>
    </row>
    <row r="180" spans="1:5" ht="12.75" x14ac:dyDescent="0.2">
      <c r="A180" s="258"/>
      <c r="B180" s="258"/>
      <c r="C180" s="258"/>
      <c r="D180" s="258"/>
      <c r="E180" s="258"/>
    </row>
    <row r="181" spans="1:5" ht="12.75" x14ac:dyDescent="0.2">
      <c r="A181" s="258"/>
      <c r="B181" s="258"/>
      <c r="C181" s="258"/>
      <c r="D181" s="258"/>
      <c r="E181" s="258"/>
    </row>
    <row r="182" spans="1:5" ht="12.75" x14ac:dyDescent="0.2">
      <c r="A182" s="258"/>
      <c r="B182" s="258"/>
      <c r="C182" s="258"/>
      <c r="D182" s="258"/>
      <c r="E182" s="258"/>
    </row>
    <row r="183" spans="1:5" ht="12.75" x14ac:dyDescent="0.2">
      <c r="A183" s="258"/>
      <c r="B183" s="258"/>
      <c r="C183" s="258"/>
      <c r="D183" s="258"/>
      <c r="E183" s="258"/>
    </row>
    <row r="184" spans="1:5" ht="12.75" x14ac:dyDescent="0.2">
      <c r="A184" s="258"/>
      <c r="B184" s="258"/>
      <c r="C184" s="258"/>
      <c r="D184" s="258"/>
      <c r="E184" s="258"/>
    </row>
    <row r="185" spans="1:5" ht="12.75" x14ac:dyDescent="0.2">
      <c r="A185" s="258"/>
      <c r="B185" s="258"/>
      <c r="C185" s="258"/>
      <c r="D185" s="258"/>
      <c r="E185" s="258"/>
    </row>
    <row r="186" spans="1:5" ht="12.75" x14ac:dyDescent="0.2">
      <c r="A186" s="258"/>
      <c r="B186" s="258"/>
      <c r="C186" s="258"/>
      <c r="D186" s="258"/>
      <c r="E186" s="258"/>
    </row>
    <row r="187" spans="1:5" ht="12.75" x14ac:dyDescent="0.2">
      <c r="A187" s="258"/>
      <c r="B187" s="258"/>
      <c r="C187" s="258"/>
      <c r="D187" s="258"/>
      <c r="E187" s="258"/>
    </row>
    <row r="188" spans="1:5" ht="12.75" x14ac:dyDescent="0.2">
      <c r="A188" s="258"/>
      <c r="B188" s="258"/>
      <c r="C188" s="258"/>
      <c r="D188" s="258"/>
      <c r="E188" s="258"/>
    </row>
    <row r="189" spans="1:5" ht="12.75" x14ac:dyDescent="0.2">
      <c r="A189" s="258"/>
      <c r="B189" s="258"/>
      <c r="C189" s="258"/>
      <c r="D189" s="258"/>
      <c r="E189" s="258"/>
    </row>
    <row r="190" spans="1:5" ht="12.75" x14ac:dyDescent="0.2">
      <c r="A190" s="258"/>
      <c r="B190" s="258"/>
      <c r="C190" s="258"/>
      <c r="D190" s="258"/>
      <c r="E190" s="258"/>
    </row>
    <row r="191" spans="1:5" ht="12.75" x14ac:dyDescent="0.2">
      <c r="A191" s="258"/>
      <c r="B191" s="258"/>
      <c r="C191" s="258"/>
      <c r="D191" s="258"/>
      <c r="E191" s="258"/>
    </row>
    <row r="192" spans="1:5" ht="12.75" x14ac:dyDescent="0.2">
      <c r="A192" s="258"/>
      <c r="B192" s="258"/>
      <c r="C192" s="258"/>
      <c r="D192" s="258"/>
      <c r="E192" s="258"/>
    </row>
    <row r="193" spans="1:5" ht="12.75" x14ac:dyDescent="0.2">
      <c r="A193" s="258"/>
      <c r="B193" s="258"/>
      <c r="C193" s="258"/>
      <c r="D193" s="258"/>
      <c r="E193" s="258"/>
    </row>
    <row r="194" spans="1:5" ht="12.75" x14ac:dyDescent="0.2">
      <c r="A194" s="258"/>
      <c r="B194" s="258"/>
      <c r="C194" s="258"/>
      <c r="D194" s="258"/>
      <c r="E194" s="258"/>
    </row>
    <row r="195" spans="1:5" ht="12.75" x14ac:dyDescent="0.2">
      <c r="A195" s="258"/>
      <c r="B195" s="258"/>
      <c r="C195" s="258"/>
      <c r="D195" s="258"/>
      <c r="E195" s="258"/>
    </row>
    <row r="196" spans="1:5" ht="12.75" x14ac:dyDescent="0.2">
      <c r="A196" s="258"/>
      <c r="B196" s="258"/>
      <c r="C196" s="258"/>
      <c r="D196" s="258"/>
      <c r="E196" s="258"/>
    </row>
    <row r="197" spans="1:5" ht="12.75" x14ac:dyDescent="0.2">
      <c r="A197" s="258"/>
      <c r="B197" s="258"/>
      <c r="C197" s="258"/>
      <c r="D197" s="258"/>
      <c r="E197" s="258"/>
    </row>
    <row r="198" spans="1:5" ht="12.75" x14ac:dyDescent="0.2">
      <c r="A198" s="258"/>
      <c r="B198" s="258"/>
      <c r="C198" s="258"/>
      <c r="D198" s="258"/>
      <c r="E198" s="258"/>
    </row>
    <row r="199" spans="1:5" ht="12.75" x14ac:dyDescent="0.2">
      <c r="A199" s="258"/>
      <c r="B199" s="258"/>
      <c r="C199" s="258"/>
      <c r="D199" s="258"/>
      <c r="E199" s="258"/>
    </row>
    <row r="200" spans="1:5" ht="12.75" x14ac:dyDescent="0.2">
      <c r="A200" s="258"/>
      <c r="B200" s="258"/>
      <c r="C200" s="258"/>
      <c r="D200" s="258"/>
      <c r="E200" s="258"/>
    </row>
    <row r="201" spans="1:5" ht="12.75" x14ac:dyDescent="0.2">
      <c r="A201" s="258"/>
      <c r="B201" s="258"/>
      <c r="C201" s="258"/>
      <c r="D201" s="258"/>
      <c r="E201" s="258"/>
    </row>
    <row r="202" spans="1:5" ht="12.75" x14ac:dyDescent="0.2">
      <c r="A202" s="258"/>
      <c r="B202" s="258"/>
      <c r="C202" s="258"/>
      <c r="D202" s="258"/>
      <c r="E202" s="258"/>
    </row>
    <row r="203" spans="1:5" ht="12.75" x14ac:dyDescent="0.2">
      <c r="A203" s="258"/>
      <c r="B203" s="258"/>
      <c r="C203" s="258"/>
      <c r="D203" s="258"/>
      <c r="E203" s="258"/>
    </row>
    <row r="204" spans="1:5" ht="12.75" x14ac:dyDescent="0.2">
      <c r="A204" s="258"/>
      <c r="B204" s="258"/>
      <c r="C204" s="258"/>
      <c r="D204" s="258"/>
      <c r="E204" s="258"/>
    </row>
    <row r="205" spans="1:5" ht="12.75" x14ac:dyDescent="0.2">
      <c r="A205" s="258"/>
      <c r="B205" s="258"/>
      <c r="C205" s="258"/>
      <c r="D205" s="258"/>
      <c r="E205" s="258"/>
    </row>
    <row r="206" spans="1:5" ht="12.75" x14ac:dyDescent="0.2">
      <c r="A206" s="258"/>
      <c r="B206" s="258"/>
      <c r="C206" s="258"/>
      <c r="D206" s="258"/>
      <c r="E206" s="258"/>
    </row>
    <row r="207" spans="1:5" ht="12.75" x14ac:dyDescent="0.2">
      <c r="A207" s="258"/>
      <c r="B207" s="258"/>
      <c r="C207" s="258"/>
      <c r="D207" s="258"/>
      <c r="E207" s="258"/>
    </row>
    <row r="208" spans="1:5" ht="12.75" x14ac:dyDescent="0.2">
      <c r="A208" s="258"/>
      <c r="B208" s="258"/>
      <c r="C208" s="258"/>
      <c r="D208" s="258"/>
      <c r="E208" s="258"/>
    </row>
    <row r="209" spans="1:5" ht="12.75" x14ac:dyDescent="0.2">
      <c r="A209" s="258"/>
      <c r="B209" s="258"/>
      <c r="C209" s="258"/>
      <c r="D209" s="258"/>
      <c r="E209" s="258"/>
    </row>
    <row r="210" spans="1:5" ht="12.75" x14ac:dyDescent="0.2">
      <c r="A210" s="258"/>
      <c r="B210" s="258"/>
      <c r="C210" s="258"/>
      <c r="D210" s="258"/>
      <c r="E210" s="258"/>
    </row>
    <row r="211" spans="1:5" ht="12.75" x14ac:dyDescent="0.2">
      <c r="A211" s="258"/>
      <c r="B211" s="258"/>
      <c r="C211" s="258"/>
      <c r="D211" s="258"/>
      <c r="E211" s="258"/>
    </row>
    <row r="212" spans="1:5" ht="12.75" x14ac:dyDescent="0.2">
      <c r="A212" s="258"/>
      <c r="B212" s="258"/>
      <c r="C212" s="258"/>
      <c r="D212" s="258"/>
      <c r="E212" s="258"/>
    </row>
    <row r="213" spans="1:5" ht="12.75" x14ac:dyDescent="0.2">
      <c r="A213" s="258"/>
      <c r="B213" s="258"/>
      <c r="C213" s="258"/>
      <c r="D213" s="258"/>
      <c r="E213" s="258"/>
    </row>
    <row r="214" spans="1:5" ht="12.75" x14ac:dyDescent="0.2">
      <c r="A214" s="258"/>
      <c r="B214" s="258"/>
      <c r="C214" s="258"/>
      <c r="D214" s="258"/>
      <c r="E214" s="258"/>
    </row>
    <row r="215" spans="1:5" ht="12.75" x14ac:dyDescent="0.2">
      <c r="A215" s="258"/>
      <c r="B215" s="258"/>
      <c r="C215" s="258"/>
      <c r="D215" s="258"/>
      <c r="E215" s="258"/>
    </row>
    <row r="216" spans="1:5" ht="12.75" x14ac:dyDescent="0.2">
      <c r="A216" s="258"/>
      <c r="B216" s="258"/>
      <c r="C216" s="258"/>
      <c r="D216" s="258"/>
      <c r="E216" s="258"/>
    </row>
    <row r="217" spans="1:5" ht="12.75" x14ac:dyDescent="0.2">
      <c r="A217" s="258"/>
      <c r="B217" s="258"/>
      <c r="C217" s="258"/>
      <c r="D217" s="258"/>
      <c r="E217" s="258"/>
    </row>
    <row r="218" spans="1:5" ht="12.75" x14ac:dyDescent="0.2">
      <c r="A218" s="258"/>
      <c r="B218" s="258"/>
      <c r="C218" s="258"/>
      <c r="D218" s="258"/>
      <c r="E218" s="258"/>
    </row>
    <row r="219" spans="1:5" ht="12.75" x14ac:dyDescent="0.2">
      <c r="A219" s="258"/>
      <c r="B219" s="258"/>
      <c r="C219" s="258"/>
      <c r="D219" s="258"/>
      <c r="E219" s="258"/>
    </row>
    <row r="220" spans="1:5" ht="12.75" x14ac:dyDescent="0.2">
      <c r="A220" s="258"/>
      <c r="B220" s="258"/>
      <c r="C220" s="258"/>
      <c r="D220" s="258"/>
      <c r="E220" s="258"/>
    </row>
    <row r="221" spans="1:5" ht="12.75" x14ac:dyDescent="0.2">
      <c r="A221" s="258"/>
      <c r="B221" s="258"/>
      <c r="C221" s="258"/>
      <c r="D221" s="258"/>
      <c r="E221" s="258"/>
    </row>
    <row r="222" spans="1:5" ht="12.75" x14ac:dyDescent="0.2">
      <c r="A222" s="258"/>
      <c r="B222" s="258"/>
      <c r="C222" s="258"/>
      <c r="D222" s="258"/>
      <c r="E222" s="258"/>
    </row>
    <row r="223" spans="1:5" ht="12.75" x14ac:dyDescent="0.2">
      <c r="A223" s="258"/>
      <c r="B223" s="258"/>
      <c r="C223" s="258"/>
      <c r="D223" s="258"/>
      <c r="E223" s="258"/>
    </row>
    <row r="224" spans="1:5" ht="12.75" x14ac:dyDescent="0.2">
      <c r="A224" s="258"/>
      <c r="B224" s="258"/>
      <c r="C224" s="258"/>
      <c r="D224" s="258"/>
      <c r="E224" s="258"/>
    </row>
    <row r="225" spans="1:5" ht="12.75" x14ac:dyDescent="0.2">
      <c r="A225" s="258"/>
      <c r="B225" s="258"/>
      <c r="C225" s="258"/>
      <c r="D225" s="258"/>
      <c r="E225" s="258"/>
    </row>
    <row r="226" spans="1:5" ht="12.75" x14ac:dyDescent="0.2">
      <c r="A226" s="258"/>
      <c r="B226" s="258"/>
      <c r="C226" s="258"/>
      <c r="D226" s="258"/>
      <c r="E226" s="258"/>
    </row>
    <row r="227" spans="1:5" ht="12.75" x14ac:dyDescent="0.2">
      <c r="A227" s="258"/>
      <c r="B227" s="258"/>
      <c r="C227" s="258"/>
      <c r="D227" s="258"/>
      <c r="E227" s="258"/>
    </row>
    <row r="228" spans="1:5" ht="12.75" x14ac:dyDescent="0.2">
      <c r="A228" s="258"/>
      <c r="B228" s="258"/>
      <c r="C228" s="258"/>
      <c r="D228" s="258"/>
      <c r="E228" s="258"/>
    </row>
    <row r="229" spans="1:5" ht="12.75" x14ac:dyDescent="0.2">
      <c r="A229" s="258"/>
      <c r="B229" s="258"/>
      <c r="C229" s="258"/>
      <c r="D229" s="258"/>
      <c r="E229" s="258"/>
    </row>
    <row r="230" spans="1:5" ht="12.75" x14ac:dyDescent="0.2">
      <c r="A230" s="258"/>
      <c r="B230" s="258"/>
      <c r="C230" s="258"/>
      <c r="D230" s="258"/>
      <c r="E230" s="258"/>
    </row>
    <row r="231" spans="1:5" ht="12.75" x14ac:dyDescent="0.2">
      <c r="A231" s="258"/>
      <c r="B231" s="258"/>
      <c r="C231" s="258"/>
      <c r="D231" s="258"/>
      <c r="E231" s="258"/>
    </row>
    <row r="232" spans="1:5" ht="12.75" x14ac:dyDescent="0.2">
      <c r="A232" s="258"/>
      <c r="B232" s="258"/>
      <c r="C232" s="258"/>
      <c r="D232" s="258"/>
      <c r="E232" s="258"/>
    </row>
    <row r="233" spans="1:5" ht="12.75" x14ac:dyDescent="0.2">
      <c r="A233" s="258"/>
      <c r="B233" s="258"/>
      <c r="C233" s="258"/>
      <c r="D233" s="258"/>
      <c r="E233" s="258"/>
    </row>
    <row r="234" spans="1:5" ht="12.75" x14ac:dyDescent="0.2">
      <c r="A234" s="258"/>
      <c r="B234" s="258"/>
      <c r="C234" s="258"/>
      <c r="D234" s="258"/>
      <c r="E234" s="258"/>
    </row>
    <row r="235" spans="1:5" ht="12.75" x14ac:dyDescent="0.2">
      <c r="A235" s="258"/>
      <c r="B235" s="258"/>
      <c r="C235" s="258"/>
      <c r="D235" s="258"/>
      <c r="E235" s="258"/>
    </row>
    <row r="236" spans="1:5" ht="12.75" x14ac:dyDescent="0.2">
      <c r="A236" s="258"/>
      <c r="B236" s="258"/>
      <c r="C236" s="258"/>
      <c r="D236" s="258"/>
      <c r="E236" s="258"/>
    </row>
    <row r="237" spans="1:5" ht="12.75" x14ac:dyDescent="0.2">
      <c r="A237" s="258"/>
      <c r="B237" s="258"/>
      <c r="C237" s="258"/>
      <c r="D237" s="258"/>
      <c r="E237" s="258"/>
    </row>
    <row r="238" spans="1:5" ht="12.75" x14ac:dyDescent="0.2">
      <c r="A238" s="258"/>
      <c r="B238" s="258"/>
      <c r="C238" s="258"/>
      <c r="D238" s="258"/>
      <c r="E238" s="258"/>
    </row>
    <row r="239" spans="1:5" ht="12.75" x14ac:dyDescent="0.2">
      <c r="A239" s="258"/>
      <c r="B239" s="258"/>
      <c r="C239" s="258"/>
      <c r="D239" s="258"/>
      <c r="E239" s="258"/>
    </row>
    <row r="240" spans="1:5" ht="12.75" x14ac:dyDescent="0.2">
      <c r="A240" s="258"/>
      <c r="B240" s="258"/>
      <c r="C240" s="258"/>
      <c r="D240" s="258"/>
      <c r="E240" s="258"/>
    </row>
    <row r="241" spans="1:5" ht="12.75" x14ac:dyDescent="0.2">
      <c r="A241" s="258"/>
      <c r="B241" s="258"/>
      <c r="C241" s="258"/>
      <c r="D241" s="258"/>
      <c r="E241" s="258"/>
    </row>
    <row r="242" spans="1:5" ht="12.75" x14ac:dyDescent="0.2">
      <c r="A242" s="258"/>
      <c r="B242" s="258"/>
      <c r="C242" s="258"/>
      <c r="D242" s="258"/>
      <c r="E242" s="258"/>
    </row>
    <row r="243" spans="1:5" ht="12.75" x14ac:dyDescent="0.2">
      <c r="A243" s="258"/>
      <c r="B243" s="258"/>
      <c r="C243" s="258"/>
      <c r="D243" s="258"/>
      <c r="E243" s="258"/>
    </row>
    <row r="244" spans="1:5" ht="12.75" x14ac:dyDescent="0.2">
      <c r="A244" s="258"/>
      <c r="B244" s="258"/>
      <c r="C244" s="258"/>
      <c r="D244" s="258"/>
      <c r="E244" s="258"/>
    </row>
    <row r="245" spans="1:5" ht="12.75" x14ac:dyDescent="0.2">
      <c r="A245" s="258"/>
      <c r="B245" s="258"/>
      <c r="C245" s="258"/>
      <c r="D245" s="258"/>
      <c r="E245" s="258"/>
    </row>
    <row r="246" spans="1:5" ht="12.75" x14ac:dyDescent="0.2">
      <c r="A246" s="258"/>
      <c r="B246" s="258"/>
      <c r="C246" s="258"/>
      <c r="D246" s="258"/>
      <c r="E246" s="258"/>
    </row>
    <row r="247" spans="1:5" ht="12.75" x14ac:dyDescent="0.2">
      <c r="A247" s="258"/>
      <c r="B247" s="258"/>
      <c r="C247" s="258"/>
      <c r="D247" s="258"/>
      <c r="E247" s="258"/>
    </row>
    <row r="248" spans="1:5" ht="12.75" x14ac:dyDescent="0.2">
      <c r="A248" s="258"/>
      <c r="B248" s="258"/>
      <c r="C248" s="258"/>
      <c r="D248" s="258"/>
      <c r="E248" s="258"/>
    </row>
    <row r="249" spans="1:5" ht="12.75" x14ac:dyDescent="0.2">
      <c r="A249" s="258"/>
      <c r="B249" s="258"/>
      <c r="C249" s="258"/>
      <c r="D249" s="258"/>
      <c r="E249" s="258"/>
    </row>
    <row r="250" spans="1:5" ht="12.75" x14ac:dyDescent="0.2">
      <c r="A250" s="258"/>
      <c r="B250" s="258"/>
      <c r="C250" s="258"/>
      <c r="D250" s="258"/>
      <c r="E250" s="258"/>
    </row>
    <row r="251" spans="1:5" ht="12.75" x14ac:dyDescent="0.2">
      <c r="A251" s="258"/>
      <c r="B251" s="258"/>
      <c r="C251" s="258"/>
      <c r="D251" s="258"/>
      <c r="E251" s="258"/>
    </row>
    <row r="252" spans="1:5" ht="12.75" x14ac:dyDescent="0.2">
      <c r="A252" s="258"/>
      <c r="B252" s="258"/>
      <c r="C252" s="258"/>
      <c r="D252" s="258"/>
      <c r="E252" s="258"/>
    </row>
    <row r="253" spans="1:5" ht="12.75" x14ac:dyDescent="0.2">
      <c r="A253" s="258"/>
      <c r="B253" s="258"/>
      <c r="C253" s="258"/>
      <c r="D253" s="258"/>
      <c r="E253" s="258"/>
    </row>
    <row r="254" spans="1:5" ht="12.75" x14ac:dyDescent="0.2">
      <c r="A254" s="258"/>
      <c r="B254" s="258"/>
      <c r="C254" s="258"/>
      <c r="D254" s="258"/>
      <c r="E254" s="258"/>
    </row>
    <row r="255" spans="1:5" ht="12.75" x14ac:dyDescent="0.2">
      <c r="A255" s="258"/>
      <c r="B255" s="258"/>
      <c r="C255" s="258"/>
      <c r="D255" s="258"/>
      <c r="E255" s="258"/>
    </row>
    <row r="256" spans="1:5" ht="12.75" x14ac:dyDescent="0.2">
      <c r="A256" s="258"/>
      <c r="B256" s="258"/>
      <c r="C256" s="258"/>
      <c r="D256" s="258"/>
      <c r="E256" s="258"/>
    </row>
    <row r="257" spans="1:5" ht="12.75" x14ac:dyDescent="0.2">
      <c r="A257" s="258"/>
      <c r="B257" s="258"/>
      <c r="C257" s="258"/>
      <c r="D257" s="258"/>
      <c r="E257" s="258"/>
    </row>
    <row r="258" spans="1:5" ht="12.75" x14ac:dyDescent="0.2">
      <c r="A258" s="258"/>
      <c r="B258" s="258"/>
      <c r="C258" s="258"/>
      <c r="D258" s="258"/>
      <c r="E258" s="258"/>
    </row>
    <row r="259" spans="1:5" ht="12.75" x14ac:dyDescent="0.2">
      <c r="A259" s="258"/>
      <c r="B259" s="258"/>
      <c r="C259" s="258"/>
      <c r="D259" s="258"/>
      <c r="E259" s="258"/>
    </row>
    <row r="260" spans="1:5" ht="12.75" x14ac:dyDescent="0.2">
      <c r="A260" s="258"/>
      <c r="B260" s="258"/>
      <c r="C260" s="258"/>
      <c r="D260" s="258"/>
      <c r="E260" s="258"/>
    </row>
    <row r="261" spans="1:5" ht="12.75" x14ac:dyDescent="0.2">
      <c r="A261" s="258"/>
      <c r="B261" s="258"/>
      <c r="C261" s="258"/>
      <c r="D261" s="258"/>
      <c r="E261" s="258"/>
    </row>
    <row r="262" spans="1:5" ht="12.75" x14ac:dyDescent="0.2">
      <c r="A262" s="258"/>
      <c r="B262" s="258"/>
      <c r="C262" s="258"/>
      <c r="D262" s="258"/>
      <c r="E262" s="258"/>
    </row>
    <row r="263" spans="1:5" ht="12.75" x14ac:dyDescent="0.2">
      <c r="A263" s="258"/>
      <c r="B263" s="258"/>
      <c r="C263" s="258"/>
      <c r="D263" s="258"/>
      <c r="E263" s="258"/>
    </row>
    <row r="264" spans="1:5" ht="12.75" x14ac:dyDescent="0.2">
      <c r="A264" s="258"/>
      <c r="B264" s="258"/>
      <c r="C264" s="258"/>
      <c r="D264" s="258"/>
      <c r="E264" s="258"/>
    </row>
    <row r="265" spans="1:5" ht="12.75" x14ac:dyDescent="0.2">
      <c r="A265" s="258"/>
      <c r="B265" s="258"/>
      <c r="C265" s="258"/>
      <c r="D265" s="258"/>
      <c r="E265" s="258"/>
    </row>
    <row r="266" spans="1:5" ht="12.75" x14ac:dyDescent="0.2">
      <c r="A266" s="258"/>
      <c r="B266" s="258"/>
      <c r="C266" s="258"/>
      <c r="D266" s="258"/>
      <c r="E266" s="258"/>
    </row>
    <row r="267" spans="1:5" ht="12.75" x14ac:dyDescent="0.2">
      <c r="A267" s="258"/>
      <c r="B267" s="258"/>
      <c r="C267" s="258"/>
      <c r="D267" s="258"/>
      <c r="E267" s="258"/>
    </row>
    <row r="268" spans="1:5" ht="12.75" x14ac:dyDescent="0.2">
      <c r="A268" s="258"/>
      <c r="B268" s="258"/>
      <c r="C268" s="258"/>
      <c r="D268" s="258"/>
      <c r="E268" s="258"/>
    </row>
    <row r="269" spans="1:5" ht="12.75" x14ac:dyDescent="0.2">
      <c r="A269" s="258"/>
      <c r="B269" s="258"/>
      <c r="C269" s="258"/>
      <c r="D269" s="258"/>
      <c r="E269" s="258"/>
    </row>
    <row r="270" spans="1:5" ht="12.75" x14ac:dyDescent="0.2">
      <c r="A270" s="258"/>
      <c r="B270" s="258"/>
      <c r="C270" s="258"/>
      <c r="D270" s="258"/>
      <c r="E270" s="258"/>
    </row>
    <row r="271" spans="1:5" ht="12.75" x14ac:dyDescent="0.2">
      <c r="A271" s="258"/>
      <c r="B271" s="258"/>
      <c r="C271" s="258"/>
      <c r="D271" s="258"/>
      <c r="E271" s="258"/>
    </row>
    <row r="272" spans="1:5" ht="12.75" x14ac:dyDescent="0.2">
      <c r="A272" s="258"/>
      <c r="B272" s="258"/>
      <c r="C272" s="258"/>
      <c r="D272" s="258"/>
      <c r="E272" s="258"/>
    </row>
    <row r="273" spans="1:5" ht="12.75" x14ac:dyDescent="0.2">
      <c r="A273" s="258"/>
      <c r="B273" s="258"/>
      <c r="C273" s="258"/>
      <c r="D273" s="258"/>
      <c r="E273" s="258"/>
    </row>
    <row r="274" spans="1:5" ht="12.75" x14ac:dyDescent="0.2">
      <c r="A274" s="258"/>
      <c r="B274" s="258"/>
      <c r="C274" s="258"/>
      <c r="D274" s="258"/>
      <c r="E274" s="258"/>
    </row>
    <row r="275" spans="1:5" ht="12.75" x14ac:dyDescent="0.2">
      <c r="A275" s="258"/>
      <c r="B275" s="258"/>
      <c r="C275" s="258"/>
      <c r="D275" s="258"/>
      <c r="E275" s="258"/>
    </row>
    <row r="276" spans="1:5" ht="12.75" x14ac:dyDescent="0.2">
      <c r="A276" s="258"/>
      <c r="B276" s="258"/>
      <c r="C276" s="258"/>
      <c r="D276" s="258"/>
      <c r="E276" s="258"/>
    </row>
    <row r="277" spans="1:5" ht="12.75" x14ac:dyDescent="0.2">
      <c r="A277" s="258"/>
      <c r="B277" s="258"/>
      <c r="C277" s="258"/>
      <c r="D277" s="258"/>
      <c r="E277" s="258"/>
    </row>
    <row r="278" spans="1:5" ht="12.75" x14ac:dyDescent="0.2">
      <c r="A278" s="258"/>
      <c r="B278" s="258"/>
      <c r="C278" s="258"/>
      <c r="D278" s="258"/>
      <c r="E278" s="258"/>
    </row>
    <row r="279" spans="1:5" ht="12.75" x14ac:dyDescent="0.2">
      <c r="A279" s="258"/>
      <c r="B279" s="258"/>
      <c r="C279" s="258"/>
      <c r="D279" s="258"/>
      <c r="E279" s="258"/>
    </row>
    <row r="280" spans="1:5" ht="12.75" x14ac:dyDescent="0.2">
      <c r="A280" s="258"/>
      <c r="B280" s="258"/>
      <c r="C280" s="258"/>
      <c r="D280" s="258"/>
      <c r="E280" s="258"/>
    </row>
    <row r="281" spans="1:5" ht="12.75" x14ac:dyDescent="0.2">
      <c r="A281" s="258"/>
      <c r="B281" s="258"/>
      <c r="C281" s="258"/>
      <c r="D281" s="258"/>
      <c r="E281" s="258"/>
    </row>
    <row r="282" spans="1:5" ht="12.75" x14ac:dyDescent="0.2">
      <c r="A282" s="258"/>
      <c r="B282" s="258"/>
      <c r="C282" s="258"/>
      <c r="D282" s="258"/>
      <c r="E282" s="258"/>
    </row>
    <row r="283" spans="1:5" ht="12.75" x14ac:dyDescent="0.2">
      <c r="A283" s="258"/>
      <c r="B283" s="258"/>
      <c r="C283" s="258"/>
      <c r="D283" s="258"/>
      <c r="E283" s="258"/>
    </row>
    <row r="284" spans="1:5" ht="12.75" x14ac:dyDescent="0.2">
      <c r="A284" s="258"/>
      <c r="B284" s="258"/>
      <c r="C284" s="258"/>
      <c r="D284" s="258"/>
      <c r="E284" s="258"/>
    </row>
    <row r="285" spans="1:5" ht="12.75" x14ac:dyDescent="0.2">
      <c r="A285" s="258"/>
      <c r="B285" s="258"/>
      <c r="C285" s="258"/>
      <c r="D285" s="258"/>
      <c r="E285" s="258"/>
    </row>
    <row r="286" spans="1:5" ht="12.75" x14ac:dyDescent="0.2">
      <c r="A286" s="258"/>
      <c r="B286" s="258"/>
      <c r="C286" s="258"/>
      <c r="D286" s="258"/>
      <c r="E286" s="258"/>
    </row>
    <row r="287" spans="1:5" ht="12.75" x14ac:dyDescent="0.2">
      <c r="A287" s="258"/>
      <c r="B287" s="258"/>
      <c r="C287" s="258"/>
      <c r="D287" s="258"/>
      <c r="E287" s="258"/>
    </row>
    <row r="288" spans="1:5" ht="12.75" x14ac:dyDescent="0.2">
      <c r="A288" s="258"/>
      <c r="B288" s="258"/>
      <c r="C288" s="258"/>
      <c r="D288" s="258"/>
      <c r="E288" s="258"/>
    </row>
    <row r="289" spans="1:5" ht="12.75" x14ac:dyDescent="0.2">
      <c r="A289" s="258"/>
      <c r="B289" s="258"/>
      <c r="C289" s="258"/>
      <c r="D289" s="258"/>
      <c r="E289" s="258"/>
    </row>
    <row r="290" spans="1:5" ht="12.75" x14ac:dyDescent="0.2">
      <c r="A290" s="258"/>
      <c r="B290" s="258"/>
      <c r="C290" s="258"/>
      <c r="D290" s="258"/>
      <c r="E290" s="258"/>
    </row>
    <row r="291" spans="1:5" ht="12.75" x14ac:dyDescent="0.2">
      <c r="A291" s="258"/>
      <c r="B291" s="258"/>
      <c r="C291" s="258"/>
      <c r="D291" s="258"/>
      <c r="E291" s="258"/>
    </row>
    <row r="292" spans="1:5" ht="12.75" x14ac:dyDescent="0.2">
      <c r="A292" s="258"/>
      <c r="B292" s="258"/>
      <c r="C292" s="258"/>
      <c r="D292" s="258"/>
      <c r="E292" s="258"/>
    </row>
    <row r="293" spans="1:5" ht="12.75" x14ac:dyDescent="0.2">
      <c r="A293" s="258"/>
      <c r="B293" s="258"/>
      <c r="C293" s="258"/>
      <c r="D293" s="258"/>
      <c r="E293" s="258"/>
    </row>
    <row r="294" spans="1:5" ht="12.75" x14ac:dyDescent="0.2">
      <c r="A294" s="258"/>
      <c r="B294" s="258"/>
      <c r="C294" s="258"/>
      <c r="D294" s="258"/>
      <c r="E294" s="258"/>
    </row>
    <row r="295" spans="1:5" ht="12.75" x14ac:dyDescent="0.2">
      <c r="A295" s="258"/>
      <c r="B295" s="258"/>
      <c r="C295" s="258"/>
      <c r="D295" s="258"/>
      <c r="E295" s="258"/>
    </row>
    <row r="296" spans="1:5" ht="12.75" x14ac:dyDescent="0.2">
      <c r="A296" s="258"/>
      <c r="B296" s="258"/>
      <c r="C296" s="258"/>
      <c r="D296" s="258"/>
      <c r="E296" s="258"/>
    </row>
    <row r="297" spans="1:5" ht="12.75" x14ac:dyDescent="0.2">
      <c r="A297" s="258"/>
      <c r="B297" s="258"/>
      <c r="C297" s="258"/>
      <c r="D297" s="258"/>
      <c r="E297" s="258"/>
    </row>
    <row r="298" spans="1:5" ht="12.75" x14ac:dyDescent="0.2">
      <c r="A298" s="258"/>
      <c r="B298" s="258"/>
      <c r="C298" s="258"/>
      <c r="D298" s="258"/>
      <c r="E298" s="258"/>
    </row>
    <row r="299" spans="1:5" ht="12.75" x14ac:dyDescent="0.2">
      <c r="A299" s="258"/>
      <c r="B299" s="258"/>
      <c r="C299" s="258"/>
      <c r="D299" s="258"/>
      <c r="E299" s="258"/>
    </row>
    <row r="300" spans="1:5" ht="12.75" x14ac:dyDescent="0.2">
      <c r="A300" s="258"/>
      <c r="B300" s="258"/>
      <c r="C300" s="258"/>
      <c r="D300" s="258"/>
      <c r="E300" s="258"/>
    </row>
    <row r="301" spans="1:5" ht="12.75" x14ac:dyDescent="0.2">
      <c r="A301" s="258"/>
      <c r="B301" s="258"/>
      <c r="C301" s="258"/>
      <c r="D301" s="258"/>
      <c r="E301" s="258"/>
    </row>
    <row r="302" spans="1:5" ht="12.75" x14ac:dyDescent="0.2">
      <c r="A302" s="258"/>
      <c r="B302" s="258"/>
      <c r="C302" s="258"/>
      <c r="D302" s="258"/>
      <c r="E302" s="258"/>
    </row>
    <row r="303" spans="1:5" ht="12.75" x14ac:dyDescent="0.2">
      <c r="A303" s="258"/>
      <c r="B303" s="258"/>
      <c r="C303" s="258"/>
      <c r="D303" s="258"/>
      <c r="E303" s="258"/>
    </row>
    <row r="304" spans="1:5" ht="12.75" x14ac:dyDescent="0.2">
      <c r="A304" s="258"/>
      <c r="B304" s="258"/>
      <c r="C304" s="258"/>
      <c r="D304" s="258"/>
      <c r="E304" s="258"/>
    </row>
    <row r="305" spans="1:5" ht="12.75" x14ac:dyDescent="0.2">
      <c r="A305" s="258"/>
      <c r="B305" s="258"/>
      <c r="C305" s="258"/>
      <c r="D305" s="258"/>
      <c r="E305" s="258"/>
    </row>
    <row r="306" spans="1:5" ht="12.75" x14ac:dyDescent="0.2">
      <c r="A306" s="258"/>
      <c r="B306" s="258"/>
      <c r="C306" s="258"/>
      <c r="D306" s="258"/>
      <c r="E306" s="258"/>
    </row>
    <row r="307" spans="1:5" ht="12.75" x14ac:dyDescent="0.2">
      <c r="A307" s="258"/>
      <c r="B307" s="258"/>
      <c r="C307" s="258"/>
      <c r="D307" s="258"/>
      <c r="E307" s="258"/>
    </row>
    <row r="308" spans="1:5" ht="12.75" x14ac:dyDescent="0.2">
      <c r="A308" s="258"/>
      <c r="B308" s="258"/>
      <c r="C308" s="258"/>
      <c r="D308" s="258"/>
      <c r="E308" s="258"/>
    </row>
    <row r="309" spans="1:5" ht="12.75" x14ac:dyDescent="0.2">
      <c r="A309" s="258"/>
      <c r="B309" s="258"/>
      <c r="C309" s="258"/>
      <c r="D309" s="258"/>
      <c r="E309" s="258"/>
    </row>
    <row r="310" spans="1:5" ht="12.75" x14ac:dyDescent="0.2">
      <c r="A310" s="258"/>
      <c r="B310" s="258"/>
      <c r="C310" s="258"/>
      <c r="D310" s="258"/>
      <c r="E310" s="258"/>
    </row>
    <row r="311" spans="1:5" ht="12.75" x14ac:dyDescent="0.2">
      <c r="A311" s="258"/>
      <c r="B311" s="258"/>
      <c r="C311" s="258"/>
      <c r="D311" s="258"/>
      <c r="E311" s="258"/>
    </row>
    <row r="312" spans="1:5" ht="12.75" x14ac:dyDescent="0.2">
      <c r="A312" s="258"/>
      <c r="B312" s="258"/>
      <c r="C312" s="258"/>
      <c r="D312" s="258"/>
      <c r="E312" s="258"/>
    </row>
    <row r="313" spans="1:5" ht="12.75" x14ac:dyDescent="0.2">
      <c r="A313" s="258"/>
      <c r="B313" s="258"/>
      <c r="C313" s="258"/>
      <c r="D313" s="258"/>
      <c r="E313" s="258"/>
    </row>
    <row r="314" spans="1:5" ht="12.75" x14ac:dyDescent="0.2">
      <c r="A314" s="258"/>
      <c r="B314" s="258"/>
      <c r="C314" s="258"/>
      <c r="D314" s="258"/>
      <c r="E314" s="258"/>
    </row>
    <row r="315" spans="1:5" ht="12.75" x14ac:dyDescent="0.2">
      <c r="A315" s="258"/>
      <c r="B315" s="258"/>
      <c r="C315" s="258"/>
      <c r="D315" s="258"/>
      <c r="E315" s="258"/>
    </row>
    <row r="316" spans="1:5" ht="12.75" x14ac:dyDescent="0.2">
      <c r="A316" s="258"/>
      <c r="B316" s="258"/>
      <c r="C316" s="258"/>
      <c r="D316" s="258"/>
      <c r="E316" s="258"/>
    </row>
    <row r="317" spans="1:5" ht="12.75" x14ac:dyDescent="0.2">
      <c r="A317" s="258"/>
      <c r="B317" s="258"/>
      <c r="C317" s="258"/>
      <c r="D317" s="258"/>
      <c r="E317" s="258"/>
    </row>
    <row r="318" spans="1:5" ht="12.75" x14ac:dyDescent="0.2">
      <c r="A318" s="258"/>
      <c r="B318" s="258"/>
      <c r="C318" s="258"/>
      <c r="D318" s="258"/>
      <c r="E318" s="258"/>
    </row>
    <row r="319" spans="1:5" ht="12.75" x14ac:dyDescent="0.2">
      <c r="A319" s="258"/>
      <c r="B319" s="258"/>
      <c r="C319" s="258"/>
      <c r="D319" s="258"/>
      <c r="E319" s="258"/>
    </row>
    <row r="320" spans="1:5" ht="12.75" x14ac:dyDescent="0.2">
      <c r="A320" s="258"/>
      <c r="B320" s="258"/>
      <c r="C320" s="258"/>
      <c r="D320" s="258"/>
      <c r="E320" s="258"/>
    </row>
    <row r="321" spans="1:5" ht="12.75" x14ac:dyDescent="0.2">
      <c r="A321" s="258"/>
      <c r="B321" s="258"/>
      <c r="C321" s="258"/>
      <c r="D321" s="258"/>
      <c r="E321" s="258"/>
    </row>
    <row r="322" spans="1:5" ht="12.75" x14ac:dyDescent="0.2">
      <c r="A322" s="258"/>
      <c r="B322" s="258"/>
      <c r="C322" s="258"/>
      <c r="D322" s="258"/>
      <c r="E322" s="258"/>
    </row>
    <row r="323" spans="1:5" ht="12.75" x14ac:dyDescent="0.2">
      <c r="A323" s="258"/>
      <c r="B323" s="258"/>
      <c r="C323" s="258"/>
      <c r="D323" s="258"/>
      <c r="E323" s="258"/>
    </row>
    <row r="324" spans="1:5" ht="12.75" x14ac:dyDescent="0.2">
      <c r="A324" s="258"/>
      <c r="B324" s="258"/>
      <c r="C324" s="258"/>
      <c r="D324" s="258"/>
      <c r="E324" s="258"/>
    </row>
    <row r="325" spans="1:5" ht="12.75" x14ac:dyDescent="0.2">
      <c r="A325" s="258"/>
      <c r="B325" s="258"/>
      <c r="C325" s="258"/>
      <c r="D325" s="258"/>
      <c r="E325" s="258"/>
    </row>
    <row r="326" spans="1:5" ht="12.75" x14ac:dyDescent="0.2">
      <c r="A326" s="258"/>
      <c r="B326" s="258"/>
      <c r="C326" s="258"/>
      <c r="D326" s="258"/>
      <c r="E326" s="258"/>
    </row>
    <row r="327" spans="1:5" ht="12.75" x14ac:dyDescent="0.2">
      <c r="A327" s="258"/>
      <c r="B327" s="258"/>
      <c r="C327" s="258"/>
      <c r="D327" s="258"/>
      <c r="E327" s="258"/>
    </row>
    <row r="328" spans="1:5" ht="12.75" x14ac:dyDescent="0.2">
      <c r="A328" s="258"/>
      <c r="B328" s="258"/>
      <c r="C328" s="258"/>
      <c r="D328" s="258"/>
      <c r="E328" s="258"/>
    </row>
    <row r="329" spans="1:5" ht="12.75" x14ac:dyDescent="0.2">
      <c r="A329" s="258"/>
      <c r="B329" s="258"/>
      <c r="C329" s="258"/>
      <c r="D329" s="258"/>
      <c r="E329" s="258"/>
    </row>
    <row r="330" spans="1:5" ht="12.75" x14ac:dyDescent="0.2">
      <c r="A330" s="258"/>
      <c r="B330" s="258"/>
      <c r="C330" s="258"/>
      <c r="D330" s="258"/>
      <c r="E330" s="258"/>
    </row>
    <row r="331" spans="1:5" ht="12.75" x14ac:dyDescent="0.2">
      <c r="A331" s="258"/>
      <c r="B331" s="258"/>
      <c r="C331" s="258"/>
      <c r="D331" s="258"/>
      <c r="E331" s="258"/>
    </row>
    <row r="332" spans="1:5" ht="12.75" x14ac:dyDescent="0.2">
      <c r="A332" s="258"/>
      <c r="B332" s="258"/>
      <c r="C332" s="258"/>
      <c r="D332" s="258"/>
      <c r="E332" s="258"/>
    </row>
    <row r="333" spans="1:5" ht="12.75" x14ac:dyDescent="0.2">
      <c r="A333" s="258"/>
      <c r="B333" s="258"/>
      <c r="C333" s="258"/>
      <c r="D333" s="258"/>
      <c r="E333" s="258"/>
    </row>
    <row r="334" spans="1:5" ht="12.75" x14ac:dyDescent="0.2">
      <c r="A334" s="258"/>
      <c r="B334" s="258"/>
      <c r="C334" s="258"/>
      <c r="D334" s="258"/>
      <c r="E334" s="258"/>
    </row>
    <row r="335" spans="1:5" ht="12.75" x14ac:dyDescent="0.2">
      <c r="A335" s="258"/>
      <c r="B335" s="258"/>
      <c r="C335" s="258"/>
      <c r="D335" s="258"/>
      <c r="E335" s="258"/>
    </row>
    <row r="336" spans="1:5" ht="12.75" x14ac:dyDescent="0.2">
      <c r="A336" s="258"/>
      <c r="B336" s="258"/>
      <c r="C336" s="258"/>
      <c r="D336" s="258"/>
      <c r="E336" s="258"/>
    </row>
    <row r="337" spans="1:5" ht="12.75" x14ac:dyDescent="0.2">
      <c r="A337" s="258"/>
      <c r="B337" s="258"/>
      <c r="C337" s="258"/>
      <c r="D337" s="258"/>
      <c r="E337" s="258"/>
    </row>
    <row r="338" spans="1:5" ht="12.75" x14ac:dyDescent="0.2">
      <c r="A338" s="258"/>
      <c r="B338" s="258"/>
      <c r="C338" s="258"/>
      <c r="D338" s="258"/>
      <c r="E338" s="258"/>
    </row>
    <row r="339" spans="1:5" ht="12.75" x14ac:dyDescent="0.2">
      <c r="A339" s="258"/>
      <c r="B339" s="258"/>
      <c r="C339" s="258"/>
      <c r="D339" s="258"/>
      <c r="E339" s="258"/>
    </row>
    <row r="340" spans="1:5" ht="12.75" x14ac:dyDescent="0.2">
      <c r="A340" s="258"/>
      <c r="B340" s="258"/>
      <c r="C340" s="258"/>
      <c r="D340" s="258"/>
      <c r="E340" s="258"/>
    </row>
    <row r="341" spans="1:5" ht="12.75" x14ac:dyDescent="0.2">
      <c r="A341" s="258"/>
      <c r="B341" s="258"/>
      <c r="C341" s="258"/>
      <c r="D341" s="258"/>
      <c r="E341" s="258"/>
    </row>
    <row r="342" spans="1:5" ht="12.75" x14ac:dyDescent="0.2">
      <c r="A342" s="258"/>
      <c r="B342" s="258"/>
      <c r="C342" s="258"/>
      <c r="D342" s="258"/>
      <c r="E342" s="258"/>
    </row>
    <row r="343" spans="1:5" ht="12.75" x14ac:dyDescent="0.2">
      <c r="A343" s="258"/>
      <c r="B343" s="258"/>
      <c r="C343" s="258"/>
      <c r="D343" s="258"/>
      <c r="E343" s="258"/>
    </row>
    <row r="344" spans="1:5" ht="12.75" x14ac:dyDescent="0.2">
      <c r="A344" s="258"/>
      <c r="B344" s="258"/>
      <c r="C344" s="258"/>
      <c r="D344" s="258"/>
      <c r="E344" s="258"/>
    </row>
    <row r="345" spans="1:5" ht="12.75" x14ac:dyDescent="0.2">
      <c r="A345" s="258"/>
      <c r="B345" s="258"/>
      <c r="C345" s="258"/>
      <c r="D345" s="258"/>
      <c r="E345" s="258"/>
    </row>
    <row r="346" spans="1:5" ht="12.75" x14ac:dyDescent="0.2">
      <c r="A346" s="258"/>
      <c r="B346" s="258"/>
      <c r="C346" s="258"/>
      <c r="D346" s="258"/>
      <c r="E346" s="258"/>
    </row>
    <row r="347" spans="1:5" ht="12.75" x14ac:dyDescent="0.2">
      <c r="A347" s="258"/>
      <c r="B347" s="258"/>
      <c r="C347" s="258"/>
      <c r="D347" s="258"/>
      <c r="E347" s="258"/>
    </row>
    <row r="348" spans="1:5" ht="12.75" x14ac:dyDescent="0.2">
      <c r="A348" s="258"/>
      <c r="B348" s="258"/>
      <c r="C348" s="258"/>
      <c r="D348" s="258"/>
      <c r="E348" s="258"/>
    </row>
    <row r="349" spans="1:5" ht="12.75" x14ac:dyDescent="0.2">
      <c r="A349" s="258"/>
      <c r="B349" s="258"/>
      <c r="C349" s="258"/>
      <c r="D349" s="258"/>
      <c r="E349" s="258"/>
    </row>
    <row r="350" spans="1:5" ht="12.75" x14ac:dyDescent="0.2">
      <c r="A350" s="258"/>
      <c r="B350" s="258"/>
      <c r="C350" s="258"/>
      <c r="D350" s="258"/>
      <c r="E350" s="258"/>
    </row>
    <row r="351" spans="1:5" ht="12.75" x14ac:dyDescent="0.2">
      <c r="A351" s="258"/>
      <c r="B351" s="258"/>
      <c r="C351" s="258"/>
      <c r="D351" s="258"/>
      <c r="E351" s="258"/>
    </row>
    <row r="352" spans="1:5" ht="12.75" x14ac:dyDescent="0.2">
      <c r="A352" s="258"/>
      <c r="B352" s="258"/>
      <c r="C352" s="258"/>
      <c r="D352" s="258"/>
      <c r="E352" s="258"/>
    </row>
    <row r="353" spans="1:5" ht="12.75" x14ac:dyDescent="0.2">
      <c r="A353" s="258"/>
      <c r="B353" s="258"/>
      <c r="C353" s="258"/>
      <c r="D353" s="258"/>
      <c r="E353" s="258"/>
    </row>
    <row r="354" spans="1:5" ht="12.75" x14ac:dyDescent="0.2">
      <c r="A354" s="258"/>
      <c r="B354" s="258"/>
      <c r="C354" s="258"/>
      <c r="D354" s="258"/>
      <c r="E354" s="258"/>
    </row>
    <row r="355" spans="1:5" ht="12.75" x14ac:dyDescent="0.2">
      <c r="A355" s="258"/>
      <c r="B355" s="258"/>
      <c r="C355" s="258"/>
      <c r="D355" s="258"/>
      <c r="E355" s="258"/>
    </row>
    <row r="356" spans="1:5" ht="12.75" x14ac:dyDescent="0.2">
      <c r="A356" s="258"/>
      <c r="B356" s="258"/>
      <c r="C356" s="258"/>
      <c r="D356" s="258"/>
      <c r="E356" s="258"/>
    </row>
    <row r="357" spans="1:5" ht="12.75" x14ac:dyDescent="0.2">
      <c r="A357" s="258"/>
      <c r="B357" s="258"/>
      <c r="C357" s="258"/>
      <c r="D357" s="258"/>
      <c r="E357" s="258"/>
    </row>
    <row r="358" spans="1:5" ht="12.75" x14ac:dyDescent="0.2">
      <c r="A358" s="258"/>
      <c r="B358" s="258"/>
      <c r="C358" s="258"/>
      <c r="D358" s="258"/>
      <c r="E358" s="258"/>
    </row>
    <row r="359" spans="1:5" ht="12.75" x14ac:dyDescent="0.2">
      <c r="A359" s="258"/>
      <c r="B359" s="258"/>
      <c r="C359" s="258"/>
      <c r="D359" s="258"/>
      <c r="E359" s="258"/>
    </row>
    <row r="360" spans="1:5" ht="12.75" x14ac:dyDescent="0.2">
      <c r="A360" s="258"/>
      <c r="B360" s="258"/>
      <c r="C360" s="258"/>
      <c r="D360" s="258"/>
      <c r="E360" s="258"/>
    </row>
    <row r="361" spans="1:5" ht="12.75" x14ac:dyDescent="0.2">
      <c r="A361" s="258"/>
      <c r="B361" s="258"/>
      <c r="C361" s="258"/>
      <c r="D361" s="258"/>
      <c r="E361" s="258"/>
    </row>
    <row r="362" spans="1:5" ht="12.75" x14ac:dyDescent="0.2">
      <c r="A362" s="258"/>
      <c r="B362" s="258"/>
      <c r="C362" s="258"/>
      <c r="D362" s="258"/>
      <c r="E362" s="258"/>
    </row>
    <row r="363" spans="1:5" ht="12.75" x14ac:dyDescent="0.2">
      <c r="A363" s="258"/>
      <c r="B363" s="258"/>
      <c r="C363" s="258"/>
      <c r="D363" s="258"/>
      <c r="E363" s="258"/>
    </row>
    <row r="364" spans="1:5" ht="12.75" x14ac:dyDescent="0.2">
      <c r="A364" s="258"/>
      <c r="B364" s="258"/>
      <c r="C364" s="258"/>
      <c r="D364" s="258"/>
      <c r="E364" s="258"/>
    </row>
    <row r="365" spans="1:5" ht="12.75" x14ac:dyDescent="0.2">
      <c r="A365" s="258"/>
      <c r="B365" s="258"/>
      <c r="C365" s="258"/>
      <c r="D365" s="258"/>
      <c r="E365" s="258"/>
    </row>
    <row r="366" spans="1:5" ht="12.75" x14ac:dyDescent="0.2">
      <c r="A366" s="258"/>
      <c r="B366" s="258"/>
      <c r="C366" s="258"/>
      <c r="D366" s="258"/>
      <c r="E366" s="258"/>
    </row>
    <row r="367" spans="1:5" ht="12.75" x14ac:dyDescent="0.2">
      <c r="A367" s="258"/>
      <c r="B367" s="258"/>
      <c r="C367" s="258"/>
      <c r="D367" s="258"/>
      <c r="E367" s="258"/>
    </row>
    <row r="368" spans="1:5" ht="12.75" x14ac:dyDescent="0.2">
      <c r="A368" s="258"/>
      <c r="B368" s="258"/>
      <c r="C368" s="258"/>
      <c r="D368" s="258"/>
      <c r="E368" s="258"/>
    </row>
    <row r="369" spans="1:5" ht="12.75" x14ac:dyDescent="0.2">
      <c r="A369" s="258"/>
      <c r="B369" s="258"/>
      <c r="C369" s="258"/>
      <c r="D369" s="258"/>
      <c r="E369" s="258"/>
    </row>
    <row r="370" spans="1:5" ht="12.75" x14ac:dyDescent="0.2">
      <c r="A370" s="258"/>
      <c r="B370" s="258"/>
      <c r="C370" s="258"/>
      <c r="D370" s="258"/>
      <c r="E370" s="258"/>
    </row>
    <row r="371" spans="1:5" ht="12.75" x14ac:dyDescent="0.2">
      <c r="A371" s="258"/>
      <c r="B371" s="258"/>
      <c r="C371" s="258"/>
      <c r="D371" s="258"/>
      <c r="E371" s="258"/>
    </row>
    <row r="372" spans="1:5" ht="12.75" x14ac:dyDescent="0.2">
      <c r="A372" s="258"/>
      <c r="B372" s="258"/>
      <c r="C372" s="258"/>
      <c r="D372" s="258"/>
      <c r="E372" s="258"/>
    </row>
    <row r="373" spans="1:5" ht="12.75" x14ac:dyDescent="0.2">
      <c r="A373" s="258"/>
      <c r="B373" s="258"/>
      <c r="C373" s="258"/>
      <c r="D373" s="258"/>
      <c r="E373" s="258"/>
    </row>
    <row r="374" spans="1:5" ht="12.75" x14ac:dyDescent="0.2">
      <c r="A374" s="258"/>
      <c r="B374" s="258"/>
      <c r="C374" s="258"/>
      <c r="D374" s="258"/>
      <c r="E374" s="258"/>
    </row>
    <row r="375" spans="1:5" ht="12.75" x14ac:dyDescent="0.2">
      <c r="A375" s="258"/>
      <c r="B375" s="258"/>
      <c r="C375" s="258"/>
      <c r="D375" s="258"/>
      <c r="E375" s="258"/>
    </row>
    <row r="376" spans="1:5" ht="12.75" x14ac:dyDescent="0.2">
      <c r="A376" s="258"/>
      <c r="B376" s="258"/>
      <c r="C376" s="258"/>
      <c r="D376" s="258"/>
      <c r="E376" s="258"/>
    </row>
    <row r="377" spans="1:5" ht="12.75" x14ac:dyDescent="0.2">
      <c r="A377" s="258"/>
      <c r="B377" s="258"/>
      <c r="C377" s="258"/>
      <c r="D377" s="258"/>
      <c r="E377" s="258"/>
    </row>
    <row r="378" spans="1:5" ht="12.75" x14ac:dyDescent="0.2">
      <c r="A378" s="258"/>
      <c r="B378" s="258"/>
      <c r="C378" s="258"/>
      <c r="D378" s="258"/>
      <c r="E378" s="258"/>
    </row>
    <row r="379" spans="1:5" ht="12.75" x14ac:dyDescent="0.2">
      <c r="A379" s="258"/>
      <c r="B379" s="258"/>
      <c r="C379" s="258"/>
      <c r="D379" s="258"/>
      <c r="E379" s="258"/>
    </row>
    <row r="380" spans="1:5" ht="12.75" x14ac:dyDescent="0.2">
      <c r="A380" s="258"/>
      <c r="B380" s="258"/>
      <c r="C380" s="258"/>
      <c r="D380" s="258"/>
      <c r="E380" s="258"/>
    </row>
    <row r="381" spans="1:5" ht="12.75" x14ac:dyDescent="0.2">
      <c r="A381" s="258"/>
      <c r="B381" s="258"/>
      <c r="C381" s="258"/>
      <c r="D381" s="258"/>
      <c r="E381" s="258"/>
    </row>
    <row r="382" spans="1:5" ht="12.75" x14ac:dyDescent="0.2">
      <c r="A382" s="258"/>
      <c r="B382" s="258"/>
      <c r="C382" s="258"/>
      <c r="D382" s="258"/>
      <c r="E382" s="258"/>
    </row>
    <row r="383" spans="1:5" ht="12.75" x14ac:dyDescent="0.2">
      <c r="A383" s="258"/>
      <c r="B383" s="258"/>
      <c r="C383" s="258"/>
      <c r="D383" s="258"/>
      <c r="E383" s="258"/>
    </row>
    <row r="384" spans="1:5" ht="12.75" x14ac:dyDescent="0.2">
      <c r="A384" s="258"/>
      <c r="B384" s="258"/>
      <c r="C384" s="258"/>
      <c r="D384" s="258"/>
      <c r="E384" s="258"/>
    </row>
    <row r="385" spans="1:5" ht="12.75" x14ac:dyDescent="0.2">
      <c r="A385" s="258"/>
      <c r="B385" s="258"/>
      <c r="C385" s="258"/>
      <c r="D385" s="258"/>
      <c r="E385" s="258"/>
    </row>
    <row r="386" spans="1:5" ht="12.75" x14ac:dyDescent="0.2">
      <c r="A386" s="258"/>
      <c r="B386" s="258"/>
      <c r="C386" s="258"/>
      <c r="D386" s="258"/>
      <c r="E386" s="258"/>
    </row>
    <row r="387" spans="1:5" ht="12.75" x14ac:dyDescent="0.2">
      <c r="A387" s="258"/>
      <c r="B387" s="258"/>
      <c r="C387" s="258"/>
      <c r="D387" s="258"/>
      <c r="E387" s="258"/>
    </row>
    <row r="388" spans="1:5" ht="12.75" x14ac:dyDescent="0.2">
      <c r="A388" s="258"/>
      <c r="B388" s="258"/>
      <c r="C388" s="258"/>
      <c r="D388" s="258"/>
      <c r="E388" s="258"/>
    </row>
    <row r="389" spans="1:5" ht="12.75" x14ac:dyDescent="0.2">
      <c r="A389" s="258"/>
      <c r="B389" s="258"/>
      <c r="C389" s="258"/>
      <c r="D389" s="258"/>
      <c r="E389" s="258"/>
    </row>
    <row r="390" spans="1:5" ht="12.75" x14ac:dyDescent="0.2">
      <c r="A390" s="258"/>
      <c r="B390" s="258"/>
      <c r="C390" s="258"/>
      <c r="D390" s="258"/>
      <c r="E390" s="258"/>
    </row>
    <row r="391" spans="1:5" ht="12.75" x14ac:dyDescent="0.2">
      <c r="A391" s="258"/>
      <c r="B391" s="258"/>
      <c r="C391" s="258"/>
      <c r="D391" s="258"/>
      <c r="E391" s="258"/>
    </row>
    <row r="392" spans="1:5" ht="12.75" x14ac:dyDescent="0.2">
      <c r="A392" s="258"/>
      <c r="B392" s="258"/>
      <c r="C392" s="258"/>
      <c r="D392" s="258"/>
      <c r="E392" s="258"/>
    </row>
    <row r="393" spans="1:5" ht="12.75" x14ac:dyDescent="0.2">
      <c r="A393" s="258"/>
      <c r="B393" s="258"/>
      <c r="C393" s="258"/>
      <c r="D393" s="258"/>
      <c r="E393" s="258"/>
    </row>
    <row r="394" spans="1:5" ht="12.75" x14ac:dyDescent="0.2">
      <c r="A394" s="258"/>
      <c r="B394" s="258"/>
      <c r="C394" s="258"/>
      <c r="D394" s="258"/>
      <c r="E394" s="258"/>
    </row>
    <row r="395" spans="1:5" ht="12.75" x14ac:dyDescent="0.2">
      <c r="A395" s="258"/>
      <c r="B395" s="258"/>
      <c r="C395" s="258"/>
      <c r="D395" s="258"/>
      <c r="E395" s="258"/>
    </row>
    <row r="396" spans="1:5" ht="12.75" x14ac:dyDescent="0.2">
      <c r="A396" s="258"/>
      <c r="B396" s="258"/>
      <c r="C396" s="258"/>
      <c r="D396" s="258"/>
      <c r="E396" s="258"/>
    </row>
    <row r="397" spans="1:5" ht="12.75" x14ac:dyDescent="0.2">
      <c r="A397" s="258"/>
      <c r="B397" s="258"/>
      <c r="C397" s="258"/>
      <c r="D397" s="258"/>
      <c r="E397" s="258"/>
    </row>
    <row r="398" spans="1:5" ht="12.75" x14ac:dyDescent="0.2">
      <c r="A398" s="258"/>
      <c r="B398" s="258"/>
      <c r="C398" s="258"/>
      <c r="D398" s="258"/>
      <c r="E398" s="258"/>
    </row>
    <row r="399" spans="1:5" ht="12.75" x14ac:dyDescent="0.2">
      <c r="A399" s="258"/>
      <c r="B399" s="258"/>
      <c r="C399" s="258"/>
      <c r="D399" s="258"/>
      <c r="E399" s="258"/>
    </row>
    <row r="400" spans="1:5" ht="12.75" x14ac:dyDescent="0.2">
      <c r="A400" s="258"/>
      <c r="B400" s="258"/>
      <c r="C400" s="258"/>
      <c r="D400" s="258"/>
      <c r="E400" s="258"/>
    </row>
    <row r="401" spans="1:5" ht="12.75" x14ac:dyDescent="0.2">
      <c r="A401" s="258"/>
      <c r="B401" s="258"/>
      <c r="C401" s="258"/>
      <c r="D401" s="258"/>
      <c r="E401" s="258"/>
    </row>
    <row r="402" spans="1:5" ht="12.75" x14ac:dyDescent="0.2">
      <c r="A402" s="258"/>
      <c r="B402" s="258"/>
      <c r="C402" s="258"/>
      <c r="D402" s="258"/>
      <c r="E402" s="258"/>
    </row>
    <row r="403" spans="1:5" ht="12.75" x14ac:dyDescent="0.2">
      <c r="A403" s="258"/>
      <c r="B403" s="258"/>
      <c r="C403" s="258"/>
      <c r="D403" s="258"/>
      <c r="E403" s="258"/>
    </row>
    <row r="404" spans="1:5" ht="12.75" x14ac:dyDescent="0.2">
      <c r="A404" s="258"/>
      <c r="B404" s="258"/>
      <c r="C404" s="258"/>
      <c r="D404" s="258"/>
      <c r="E404" s="258"/>
    </row>
    <row r="405" spans="1:5" ht="12.75" x14ac:dyDescent="0.2">
      <c r="A405" s="258"/>
      <c r="B405" s="258"/>
      <c r="C405" s="258"/>
      <c r="D405" s="258"/>
      <c r="E405" s="258"/>
    </row>
    <row r="406" spans="1:5" ht="12.75" x14ac:dyDescent="0.2">
      <c r="A406" s="258"/>
      <c r="B406" s="258"/>
      <c r="C406" s="258"/>
      <c r="D406" s="258"/>
      <c r="E406" s="258"/>
    </row>
    <row r="407" spans="1:5" ht="12.75" x14ac:dyDescent="0.2">
      <c r="A407" s="258"/>
      <c r="B407" s="258"/>
      <c r="C407" s="258"/>
      <c r="D407" s="258"/>
      <c r="E407" s="258"/>
    </row>
    <row r="408" spans="1:5" ht="12.75" x14ac:dyDescent="0.2">
      <c r="A408" s="258"/>
      <c r="B408" s="258"/>
      <c r="C408" s="258"/>
      <c r="D408" s="258"/>
      <c r="E408" s="258"/>
    </row>
    <row r="409" spans="1:5" ht="12.75" x14ac:dyDescent="0.2">
      <c r="A409" s="258"/>
      <c r="B409" s="258"/>
      <c r="C409" s="258"/>
      <c r="D409" s="258"/>
      <c r="E409" s="258"/>
    </row>
    <row r="410" spans="1:5" ht="12.75" x14ac:dyDescent="0.2">
      <c r="A410" s="258"/>
      <c r="B410" s="258"/>
      <c r="C410" s="258"/>
      <c r="D410" s="258"/>
      <c r="E410" s="258"/>
    </row>
    <row r="411" spans="1:5" ht="12.75" x14ac:dyDescent="0.2">
      <c r="A411" s="258"/>
      <c r="B411" s="258"/>
      <c r="C411" s="258"/>
      <c r="D411" s="258"/>
      <c r="E411" s="258"/>
    </row>
    <row r="412" spans="1:5" ht="12.75" x14ac:dyDescent="0.2">
      <c r="A412" s="258"/>
      <c r="B412" s="258"/>
      <c r="C412" s="258"/>
      <c r="D412" s="258"/>
      <c r="E412" s="258"/>
    </row>
    <row r="413" spans="1:5" ht="12.75" x14ac:dyDescent="0.2">
      <c r="A413" s="258"/>
      <c r="B413" s="258"/>
      <c r="C413" s="258"/>
      <c r="D413" s="258"/>
      <c r="E413" s="258"/>
    </row>
    <row r="414" spans="1:5" ht="12.75" x14ac:dyDescent="0.2">
      <c r="A414" s="258"/>
      <c r="B414" s="258"/>
      <c r="C414" s="258"/>
      <c r="D414" s="258"/>
      <c r="E414" s="258"/>
    </row>
    <row r="415" spans="1:5" ht="12.75" x14ac:dyDescent="0.2">
      <c r="A415" s="258"/>
      <c r="B415" s="258"/>
      <c r="C415" s="258"/>
      <c r="D415" s="258"/>
      <c r="E415" s="258"/>
    </row>
    <row r="416" spans="1:5" ht="12.75" x14ac:dyDescent="0.2">
      <c r="A416" s="258"/>
      <c r="B416" s="258"/>
      <c r="C416" s="258"/>
      <c r="D416" s="258"/>
      <c r="E416" s="258"/>
    </row>
    <row r="417" spans="1:5" ht="12.75" x14ac:dyDescent="0.2">
      <c r="A417" s="258"/>
      <c r="B417" s="258"/>
      <c r="C417" s="258"/>
      <c r="D417" s="258"/>
      <c r="E417" s="258"/>
    </row>
    <row r="418" spans="1:5" ht="12.75" x14ac:dyDescent="0.2">
      <c r="A418" s="258"/>
      <c r="B418" s="258"/>
      <c r="C418" s="258"/>
      <c r="D418" s="258"/>
      <c r="E418" s="258"/>
    </row>
    <row r="419" spans="1:5" ht="12.75" x14ac:dyDescent="0.2">
      <c r="A419" s="258"/>
      <c r="B419" s="258"/>
      <c r="C419" s="258"/>
      <c r="D419" s="258"/>
      <c r="E419" s="258"/>
    </row>
    <row r="420" spans="1:5" ht="12.75" x14ac:dyDescent="0.2">
      <c r="A420" s="258"/>
      <c r="B420" s="258"/>
      <c r="C420" s="258"/>
      <c r="D420" s="258"/>
      <c r="E420" s="258"/>
    </row>
    <row r="421" spans="1:5" ht="12.75" x14ac:dyDescent="0.2">
      <c r="A421" s="258"/>
      <c r="B421" s="258"/>
      <c r="C421" s="258"/>
      <c r="D421" s="258"/>
      <c r="E421" s="258"/>
    </row>
    <row r="422" spans="1:5" ht="12.75" x14ac:dyDescent="0.2">
      <c r="A422" s="258"/>
      <c r="B422" s="258"/>
      <c r="C422" s="258"/>
      <c r="D422" s="258"/>
      <c r="E422" s="258"/>
    </row>
    <row r="423" spans="1:5" ht="12.75" x14ac:dyDescent="0.2">
      <c r="A423" s="258"/>
      <c r="B423" s="258"/>
      <c r="C423" s="258"/>
      <c r="D423" s="258"/>
      <c r="E423" s="258"/>
    </row>
    <row r="424" spans="1:5" ht="12.75" x14ac:dyDescent="0.2">
      <c r="A424" s="258"/>
      <c r="B424" s="258"/>
      <c r="C424" s="258"/>
      <c r="D424" s="258"/>
      <c r="E424" s="258"/>
    </row>
    <row r="425" spans="1:5" ht="12.75" x14ac:dyDescent="0.2">
      <c r="A425" s="258"/>
      <c r="B425" s="258"/>
      <c r="C425" s="258"/>
      <c r="D425" s="258"/>
      <c r="E425" s="258"/>
    </row>
    <row r="426" spans="1:5" ht="12.75" x14ac:dyDescent="0.2">
      <c r="A426" s="258"/>
      <c r="B426" s="258"/>
      <c r="C426" s="258"/>
      <c r="D426" s="258"/>
      <c r="E426" s="258"/>
    </row>
    <row r="427" spans="1:5" ht="12.75" x14ac:dyDescent="0.2">
      <c r="A427" s="258"/>
      <c r="B427" s="258"/>
      <c r="C427" s="258"/>
      <c r="D427" s="258"/>
      <c r="E427" s="258"/>
    </row>
    <row r="428" spans="1:5" ht="12.75" x14ac:dyDescent="0.2">
      <c r="A428" s="258"/>
      <c r="B428" s="258"/>
      <c r="C428" s="258"/>
      <c r="D428" s="258"/>
      <c r="E428" s="258"/>
    </row>
    <row r="429" spans="1:5" ht="12.75" x14ac:dyDescent="0.2">
      <c r="A429" s="258"/>
      <c r="B429" s="258"/>
      <c r="C429" s="258"/>
      <c r="D429" s="258"/>
      <c r="E429" s="258"/>
    </row>
    <row r="430" spans="1:5" ht="12.75" x14ac:dyDescent="0.2">
      <c r="A430" s="258"/>
      <c r="B430" s="258"/>
      <c r="C430" s="258"/>
      <c r="D430" s="258"/>
      <c r="E430" s="258"/>
    </row>
    <row r="431" spans="1:5" ht="12.75" x14ac:dyDescent="0.2">
      <c r="A431" s="258"/>
      <c r="B431" s="258"/>
      <c r="C431" s="258"/>
      <c r="D431" s="258"/>
      <c r="E431" s="258"/>
    </row>
    <row r="432" spans="1:5" ht="12.75" x14ac:dyDescent="0.2">
      <c r="A432" s="258"/>
      <c r="B432" s="258"/>
      <c r="C432" s="258"/>
      <c r="D432" s="258"/>
      <c r="E432" s="258"/>
    </row>
    <row r="433" spans="1:5" ht="12.75" x14ac:dyDescent="0.2">
      <c r="A433" s="258"/>
      <c r="B433" s="258"/>
      <c r="C433" s="258"/>
      <c r="D433" s="258"/>
      <c r="E433" s="258"/>
    </row>
    <row r="434" spans="1:5" ht="12.75" x14ac:dyDescent="0.2">
      <c r="A434" s="258"/>
      <c r="B434" s="258"/>
      <c r="C434" s="258"/>
      <c r="D434" s="258"/>
      <c r="E434" s="258"/>
    </row>
    <row r="435" spans="1:5" ht="12.75" x14ac:dyDescent="0.2">
      <c r="A435" s="258"/>
      <c r="B435" s="258"/>
      <c r="C435" s="258"/>
      <c r="D435" s="258"/>
      <c r="E435" s="258"/>
    </row>
    <row r="436" spans="1:5" ht="12.75" x14ac:dyDescent="0.2">
      <c r="A436" s="258"/>
      <c r="B436" s="258"/>
      <c r="C436" s="258"/>
      <c r="D436" s="258"/>
      <c r="E436" s="258"/>
    </row>
    <row r="437" spans="1:5" ht="12.75" x14ac:dyDescent="0.2">
      <c r="A437" s="258"/>
      <c r="B437" s="258"/>
      <c r="C437" s="258"/>
      <c r="D437" s="258"/>
      <c r="E437" s="258"/>
    </row>
    <row r="438" spans="1:5" ht="12.75" x14ac:dyDescent="0.2">
      <c r="A438" s="258"/>
      <c r="B438" s="258"/>
      <c r="C438" s="258"/>
      <c r="D438" s="258"/>
      <c r="E438" s="258"/>
    </row>
    <row r="439" spans="1:5" ht="12.75" x14ac:dyDescent="0.2">
      <c r="A439" s="258"/>
      <c r="B439" s="258"/>
      <c r="C439" s="258"/>
      <c r="D439" s="258"/>
      <c r="E439" s="258"/>
    </row>
    <row r="440" spans="1:5" ht="12.75" x14ac:dyDescent="0.2">
      <c r="A440" s="258"/>
      <c r="B440" s="258"/>
      <c r="C440" s="258"/>
      <c r="D440" s="258"/>
      <c r="E440" s="258"/>
    </row>
    <row r="441" spans="1:5" ht="12.75" x14ac:dyDescent="0.2">
      <c r="A441" s="258"/>
      <c r="B441" s="258"/>
      <c r="C441" s="258"/>
      <c r="D441" s="258"/>
      <c r="E441" s="258"/>
    </row>
    <row r="442" spans="1:5" ht="12.75" x14ac:dyDescent="0.2">
      <c r="A442" s="258"/>
      <c r="B442" s="258"/>
      <c r="C442" s="258"/>
      <c r="D442" s="258"/>
      <c r="E442" s="258"/>
    </row>
    <row r="443" spans="1:5" ht="12.75" x14ac:dyDescent="0.2">
      <c r="A443" s="258"/>
      <c r="B443" s="258"/>
      <c r="C443" s="258"/>
      <c r="D443" s="258"/>
      <c r="E443" s="258"/>
    </row>
    <row r="444" spans="1:5" ht="12.75" x14ac:dyDescent="0.2">
      <c r="A444" s="258"/>
      <c r="B444" s="258"/>
      <c r="C444" s="258"/>
      <c r="D444" s="258"/>
      <c r="E444" s="258"/>
    </row>
    <row r="445" spans="1:5" ht="12.75" x14ac:dyDescent="0.2">
      <c r="A445" s="258"/>
      <c r="B445" s="258"/>
      <c r="C445" s="258"/>
      <c r="D445" s="258"/>
      <c r="E445" s="258"/>
    </row>
    <row r="446" spans="1:5" ht="12.75" x14ac:dyDescent="0.2">
      <c r="A446" s="258"/>
      <c r="B446" s="258"/>
      <c r="C446" s="258"/>
      <c r="D446" s="258"/>
      <c r="E446" s="258"/>
    </row>
    <row r="447" spans="1:5" ht="12.75" x14ac:dyDescent="0.2">
      <c r="A447" s="258"/>
      <c r="B447" s="258"/>
      <c r="C447" s="258"/>
      <c r="D447" s="258"/>
      <c r="E447" s="258"/>
    </row>
    <row r="448" spans="1:5" ht="12.75" x14ac:dyDescent="0.2">
      <c r="A448" s="258"/>
      <c r="B448" s="258"/>
      <c r="C448" s="258"/>
      <c r="D448" s="258"/>
      <c r="E448" s="258"/>
    </row>
    <row r="449" spans="1:5" ht="12.75" x14ac:dyDescent="0.2">
      <c r="A449" s="258"/>
      <c r="B449" s="258"/>
      <c r="C449" s="258"/>
      <c r="D449" s="258"/>
      <c r="E449" s="258"/>
    </row>
    <row r="450" spans="1:5" ht="12.75" x14ac:dyDescent="0.2">
      <c r="A450" s="258"/>
      <c r="B450" s="258"/>
      <c r="C450" s="258"/>
      <c r="D450" s="258"/>
      <c r="E450" s="258"/>
    </row>
    <row r="451" spans="1:5" ht="12.75" x14ac:dyDescent="0.2">
      <c r="A451" s="258"/>
      <c r="B451" s="258"/>
      <c r="C451" s="258"/>
      <c r="D451" s="258"/>
      <c r="E451" s="258"/>
    </row>
    <row r="452" spans="1:5" ht="12.75" x14ac:dyDescent="0.2">
      <c r="A452" s="258"/>
      <c r="B452" s="258"/>
      <c r="C452" s="258"/>
      <c r="D452" s="258"/>
      <c r="E452" s="258"/>
    </row>
    <row r="453" spans="1:5" ht="12.75" x14ac:dyDescent="0.2">
      <c r="A453" s="258"/>
      <c r="B453" s="258"/>
      <c r="C453" s="258"/>
      <c r="D453" s="258"/>
      <c r="E453" s="258"/>
    </row>
    <row r="454" spans="1:5" ht="12.75" x14ac:dyDescent="0.2">
      <c r="A454" s="258"/>
      <c r="B454" s="258"/>
      <c r="C454" s="258"/>
      <c r="D454" s="258"/>
      <c r="E454" s="258"/>
    </row>
    <row r="455" spans="1:5" ht="12.75" x14ac:dyDescent="0.2">
      <c r="A455" s="258"/>
      <c r="B455" s="258"/>
      <c r="C455" s="258"/>
      <c r="D455" s="258"/>
      <c r="E455" s="258"/>
    </row>
    <row r="456" spans="1:5" ht="12.75" x14ac:dyDescent="0.2">
      <c r="A456" s="258"/>
      <c r="B456" s="258"/>
      <c r="C456" s="258"/>
      <c r="D456" s="258"/>
      <c r="E456" s="258"/>
    </row>
    <row r="457" spans="1:5" ht="12.75" x14ac:dyDescent="0.2">
      <c r="A457" s="258"/>
      <c r="B457" s="258"/>
      <c r="C457" s="258"/>
      <c r="D457" s="258"/>
      <c r="E457" s="258"/>
    </row>
    <row r="458" spans="1:5" ht="12.75" x14ac:dyDescent="0.2">
      <c r="A458" s="258"/>
      <c r="B458" s="258"/>
      <c r="C458" s="258"/>
      <c r="D458" s="258"/>
      <c r="E458" s="258"/>
    </row>
    <row r="459" spans="1:5" ht="12.75" x14ac:dyDescent="0.2">
      <c r="A459" s="258"/>
      <c r="B459" s="258"/>
      <c r="C459" s="258"/>
      <c r="D459" s="258"/>
      <c r="E459" s="258"/>
    </row>
    <row r="460" spans="1:5" ht="12.75" x14ac:dyDescent="0.2">
      <c r="A460" s="258"/>
      <c r="B460" s="258"/>
      <c r="C460" s="258"/>
      <c r="D460" s="258"/>
      <c r="E460" s="258"/>
    </row>
    <row r="461" spans="1:5" ht="12.75" x14ac:dyDescent="0.2">
      <c r="A461" s="258"/>
      <c r="B461" s="258"/>
      <c r="C461" s="258"/>
      <c r="D461" s="258"/>
      <c r="E461" s="258"/>
    </row>
    <row r="462" spans="1:5" ht="12.75" x14ac:dyDescent="0.2">
      <c r="A462" s="258"/>
      <c r="B462" s="258"/>
      <c r="C462" s="258"/>
      <c r="D462" s="258"/>
      <c r="E462" s="258"/>
    </row>
    <row r="463" spans="1:5" ht="12.75" x14ac:dyDescent="0.2">
      <c r="A463" s="258"/>
      <c r="B463" s="258"/>
      <c r="C463" s="258"/>
      <c r="D463" s="258"/>
      <c r="E463" s="258"/>
    </row>
    <row r="464" spans="1:5" ht="12.75" x14ac:dyDescent="0.2">
      <c r="A464" s="258"/>
      <c r="B464" s="258"/>
      <c r="C464" s="258"/>
      <c r="D464" s="258"/>
      <c r="E464" s="258"/>
    </row>
    <row r="465" spans="1:5" ht="12.75" x14ac:dyDescent="0.2">
      <c r="A465" s="258"/>
      <c r="B465" s="258"/>
      <c r="C465" s="258"/>
      <c r="D465" s="258"/>
      <c r="E465" s="258"/>
    </row>
    <row r="466" spans="1:5" ht="12.75" x14ac:dyDescent="0.2">
      <c r="A466" s="258"/>
      <c r="B466" s="258"/>
      <c r="C466" s="258"/>
      <c r="D466" s="258"/>
      <c r="E466" s="258"/>
    </row>
    <row r="467" spans="1:5" ht="12.75" x14ac:dyDescent="0.2">
      <c r="A467" s="258"/>
      <c r="B467" s="258"/>
      <c r="C467" s="258"/>
      <c r="D467" s="258"/>
      <c r="E467" s="258"/>
    </row>
    <row r="468" spans="1:5" ht="12.75" x14ac:dyDescent="0.2">
      <c r="A468" s="258"/>
      <c r="B468" s="258"/>
      <c r="C468" s="258"/>
      <c r="D468" s="258"/>
      <c r="E468" s="258"/>
    </row>
    <row r="469" spans="1:5" ht="12.75" x14ac:dyDescent="0.2">
      <c r="A469" s="258"/>
      <c r="B469" s="258"/>
      <c r="C469" s="258"/>
      <c r="D469" s="258"/>
      <c r="E469" s="258"/>
    </row>
    <row r="470" spans="1:5" ht="12.75" x14ac:dyDescent="0.2">
      <c r="A470" s="258"/>
      <c r="B470" s="258"/>
      <c r="C470" s="258"/>
      <c r="D470" s="258"/>
      <c r="E470" s="258"/>
    </row>
    <row r="471" spans="1:5" ht="12.75" x14ac:dyDescent="0.2">
      <c r="A471" s="258"/>
      <c r="B471" s="258"/>
      <c r="C471" s="258"/>
      <c r="D471" s="258"/>
      <c r="E471" s="258"/>
    </row>
    <row r="472" spans="1:5" ht="12.75" x14ac:dyDescent="0.2">
      <c r="A472" s="258"/>
      <c r="B472" s="258"/>
      <c r="C472" s="258"/>
      <c r="D472" s="258"/>
      <c r="E472" s="258"/>
    </row>
    <row r="473" spans="1:5" ht="12.75" x14ac:dyDescent="0.2">
      <c r="A473" s="258"/>
      <c r="B473" s="258"/>
      <c r="C473" s="258"/>
      <c r="D473" s="258"/>
      <c r="E473" s="258"/>
    </row>
    <row r="474" spans="1:5" ht="12.75" x14ac:dyDescent="0.2">
      <c r="A474" s="258"/>
      <c r="B474" s="258"/>
      <c r="C474" s="258"/>
      <c r="D474" s="258"/>
      <c r="E474" s="258"/>
    </row>
    <row r="475" spans="1:5" ht="12.75" x14ac:dyDescent="0.2">
      <c r="A475" s="258"/>
      <c r="B475" s="258"/>
      <c r="C475" s="258"/>
      <c r="D475" s="258"/>
      <c r="E475" s="258"/>
    </row>
    <row r="476" spans="1:5" ht="12.75" x14ac:dyDescent="0.2">
      <c r="A476" s="258"/>
      <c r="B476" s="258"/>
      <c r="C476" s="258"/>
      <c r="D476" s="258"/>
      <c r="E476" s="258"/>
    </row>
    <row r="477" spans="1:5" ht="12.75" x14ac:dyDescent="0.2">
      <c r="A477" s="258"/>
      <c r="B477" s="258"/>
      <c r="C477" s="258"/>
      <c r="D477" s="258"/>
      <c r="E477" s="258"/>
    </row>
    <row r="478" spans="1:5" ht="12.75" x14ac:dyDescent="0.2">
      <c r="A478" s="258"/>
      <c r="B478" s="258"/>
      <c r="C478" s="258"/>
      <c r="D478" s="258"/>
      <c r="E478" s="258"/>
    </row>
    <row r="479" spans="1:5" ht="12.75" x14ac:dyDescent="0.2">
      <c r="A479" s="258"/>
      <c r="B479" s="258"/>
      <c r="C479" s="258"/>
      <c r="D479" s="258"/>
      <c r="E479" s="258"/>
    </row>
    <row r="480" spans="1:5" ht="12.75" x14ac:dyDescent="0.2">
      <c r="A480" s="258"/>
      <c r="B480" s="258"/>
      <c r="C480" s="258"/>
      <c r="D480" s="258"/>
      <c r="E480" s="258"/>
    </row>
    <row r="481" spans="1:5" ht="12.75" x14ac:dyDescent="0.2">
      <c r="A481" s="258"/>
      <c r="B481" s="258"/>
      <c r="C481" s="258"/>
      <c r="D481" s="258"/>
      <c r="E481" s="258"/>
    </row>
    <row r="482" spans="1:5" ht="12.75" x14ac:dyDescent="0.2">
      <c r="A482" s="258"/>
      <c r="B482" s="258"/>
      <c r="C482" s="258"/>
      <c r="D482" s="258"/>
      <c r="E482" s="258"/>
    </row>
    <row r="483" spans="1:5" ht="12.75" x14ac:dyDescent="0.2">
      <c r="A483" s="258"/>
      <c r="B483" s="258"/>
      <c r="C483" s="258"/>
      <c r="D483" s="258"/>
      <c r="E483" s="258"/>
    </row>
    <row r="484" spans="1:5" ht="12.75" x14ac:dyDescent="0.2">
      <c r="A484" s="258"/>
      <c r="B484" s="258"/>
      <c r="C484" s="258"/>
      <c r="D484" s="258"/>
      <c r="E484" s="258"/>
    </row>
    <row r="485" spans="1:5" ht="12.75" x14ac:dyDescent="0.2">
      <c r="A485" s="258"/>
      <c r="B485" s="258"/>
      <c r="C485" s="258"/>
      <c r="D485" s="258"/>
      <c r="E485" s="258"/>
    </row>
    <row r="486" spans="1:5" ht="12.75" x14ac:dyDescent="0.2">
      <c r="A486" s="258"/>
      <c r="B486" s="258"/>
      <c r="C486" s="258"/>
      <c r="D486" s="258"/>
      <c r="E486" s="258"/>
    </row>
    <row r="487" spans="1:5" ht="12.75" x14ac:dyDescent="0.2">
      <c r="A487" s="258"/>
      <c r="B487" s="258"/>
      <c r="C487" s="258"/>
      <c r="D487" s="258"/>
      <c r="E487" s="258"/>
    </row>
    <row r="488" spans="1:5" ht="12.75" x14ac:dyDescent="0.2">
      <c r="A488" s="258"/>
      <c r="B488" s="258"/>
      <c r="C488" s="258"/>
      <c r="D488" s="258"/>
      <c r="E488" s="258"/>
    </row>
    <row r="489" spans="1:5" ht="12.75" x14ac:dyDescent="0.2">
      <c r="A489" s="258"/>
      <c r="B489" s="258"/>
      <c r="C489" s="258"/>
      <c r="D489" s="258"/>
      <c r="E489" s="258"/>
    </row>
    <row r="490" spans="1:5" ht="12.75" x14ac:dyDescent="0.2">
      <c r="A490" s="258"/>
      <c r="B490" s="258"/>
      <c r="C490" s="258"/>
      <c r="D490" s="258"/>
      <c r="E490" s="258"/>
    </row>
    <row r="491" spans="1:5" ht="12.75" x14ac:dyDescent="0.2">
      <c r="A491" s="258"/>
      <c r="B491" s="258"/>
      <c r="C491" s="258"/>
      <c r="D491" s="258"/>
      <c r="E491" s="258"/>
    </row>
    <row r="492" spans="1:5" ht="12.75" x14ac:dyDescent="0.2">
      <c r="A492" s="258"/>
      <c r="B492" s="258"/>
      <c r="C492" s="258"/>
      <c r="D492" s="258"/>
      <c r="E492" s="258"/>
    </row>
    <row r="493" spans="1:5" ht="12.75" x14ac:dyDescent="0.2">
      <c r="A493" s="258"/>
      <c r="B493" s="258"/>
      <c r="C493" s="258"/>
      <c r="D493" s="258"/>
      <c r="E493" s="258"/>
    </row>
    <row r="494" spans="1:5" ht="12.75" x14ac:dyDescent="0.2">
      <c r="A494" s="258"/>
      <c r="B494" s="258"/>
      <c r="C494" s="258"/>
      <c r="D494" s="258"/>
      <c r="E494" s="258"/>
    </row>
    <row r="495" spans="1:5" ht="12.75" x14ac:dyDescent="0.2">
      <c r="A495" s="258"/>
      <c r="B495" s="258"/>
      <c r="C495" s="258"/>
      <c r="D495" s="258"/>
      <c r="E495" s="258"/>
    </row>
    <row r="496" spans="1:5" ht="12.75" x14ac:dyDescent="0.2">
      <c r="A496" s="258"/>
      <c r="B496" s="258"/>
      <c r="C496" s="258"/>
      <c r="D496" s="258"/>
      <c r="E496" s="258"/>
    </row>
    <row r="497" spans="1:5" ht="12.75" x14ac:dyDescent="0.2">
      <c r="A497" s="258"/>
      <c r="B497" s="258"/>
      <c r="C497" s="258"/>
      <c r="D497" s="258"/>
      <c r="E497" s="258"/>
    </row>
    <row r="498" spans="1:5" ht="12.75" x14ac:dyDescent="0.2">
      <c r="A498" s="258"/>
      <c r="B498" s="258"/>
      <c r="C498" s="258"/>
      <c r="D498" s="258"/>
      <c r="E498" s="258"/>
    </row>
    <row r="499" spans="1:5" ht="12.75" x14ac:dyDescent="0.2">
      <c r="A499" s="258"/>
      <c r="B499" s="258"/>
      <c r="C499" s="258"/>
      <c r="D499" s="258"/>
      <c r="E499" s="258"/>
    </row>
    <row r="500" spans="1:5" ht="12.75" x14ac:dyDescent="0.2">
      <c r="A500" s="258"/>
      <c r="B500" s="258"/>
      <c r="C500" s="258"/>
      <c r="D500" s="258"/>
      <c r="E500" s="258"/>
    </row>
    <row r="501" spans="1:5" ht="12.75" x14ac:dyDescent="0.2">
      <c r="A501" s="258"/>
      <c r="B501" s="258"/>
      <c r="C501" s="258"/>
      <c r="D501" s="258"/>
      <c r="E501" s="258"/>
    </row>
    <row r="502" spans="1:5" ht="12.75" x14ac:dyDescent="0.2">
      <c r="A502" s="258"/>
      <c r="B502" s="258"/>
      <c r="C502" s="258"/>
      <c r="D502" s="258"/>
      <c r="E502" s="258"/>
    </row>
    <row r="503" spans="1:5" ht="12.75" x14ac:dyDescent="0.2">
      <c r="A503" s="258"/>
      <c r="B503" s="258"/>
      <c r="C503" s="258"/>
      <c r="D503" s="258"/>
      <c r="E503" s="258"/>
    </row>
    <row r="504" spans="1:5" ht="12.75" x14ac:dyDescent="0.2">
      <c r="A504" s="258"/>
      <c r="B504" s="258"/>
      <c r="C504" s="258"/>
      <c r="D504" s="258"/>
      <c r="E504" s="258"/>
    </row>
    <row r="505" spans="1:5" ht="12.75" x14ac:dyDescent="0.2">
      <c r="A505" s="258"/>
      <c r="B505" s="258"/>
      <c r="C505" s="258"/>
      <c r="D505" s="258"/>
      <c r="E505" s="258"/>
    </row>
    <row r="506" spans="1:5" ht="12.75" x14ac:dyDescent="0.2">
      <c r="A506" s="258"/>
      <c r="B506" s="258"/>
      <c r="C506" s="258"/>
      <c r="D506" s="258"/>
      <c r="E506" s="258"/>
    </row>
    <row r="507" spans="1:5" ht="12.75" x14ac:dyDescent="0.2">
      <c r="A507" s="258"/>
      <c r="B507" s="258"/>
      <c r="C507" s="258"/>
      <c r="D507" s="258"/>
      <c r="E507" s="258"/>
    </row>
    <row r="508" spans="1:5" ht="12.75" x14ac:dyDescent="0.2">
      <c r="A508" s="258"/>
      <c r="B508" s="258"/>
      <c r="C508" s="258"/>
      <c r="D508" s="258"/>
      <c r="E508" s="258"/>
    </row>
    <row r="509" spans="1:5" ht="12.75" x14ac:dyDescent="0.2">
      <c r="A509" s="258"/>
      <c r="B509" s="258"/>
      <c r="C509" s="258"/>
      <c r="D509" s="258"/>
      <c r="E509" s="258"/>
    </row>
    <row r="510" spans="1:5" ht="12.75" x14ac:dyDescent="0.2">
      <c r="A510" s="258"/>
      <c r="B510" s="258"/>
      <c r="C510" s="258"/>
      <c r="D510" s="258"/>
      <c r="E510" s="258"/>
    </row>
    <row r="511" spans="1:5" ht="12.75" x14ac:dyDescent="0.2">
      <c r="A511" s="258"/>
      <c r="B511" s="258"/>
      <c r="C511" s="258"/>
      <c r="D511" s="258"/>
      <c r="E511" s="258"/>
    </row>
    <row r="512" spans="1:5" ht="12.75" x14ac:dyDescent="0.2">
      <c r="A512" s="258"/>
      <c r="B512" s="258"/>
      <c r="C512" s="258"/>
      <c r="D512" s="258"/>
      <c r="E512" s="258"/>
    </row>
    <row r="513" spans="1:5" ht="12.75" x14ac:dyDescent="0.2">
      <c r="A513" s="258"/>
      <c r="B513" s="258"/>
      <c r="C513" s="258"/>
      <c r="D513" s="258"/>
      <c r="E513" s="258"/>
    </row>
    <row r="514" spans="1:5" ht="12.75" x14ac:dyDescent="0.2">
      <c r="A514" s="258"/>
      <c r="B514" s="258"/>
      <c r="C514" s="258"/>
      <c r="D514" s="258"/>
      <c r="E514" s="258"/>
    </row>
    <row r="515" spans="1:5" ht="12.75" x14ac:dyDescent="0.2">
      <c r="A515" s="258"/>
      <c r="B515" s="258"/>
      <c r="C515" s="258"/>
      <c r="D515" s="258"/>
      <c r="E515" s="258"/>
    </row>
    <row r="516" spans="1:5" ht="12.75" x14ac:dyDescent="0.2">
      <c r="A516" s="258"/>
      <c r="B516" s="258"/>
      <c r="C516" s="258"/>
      <c r="D516" s="258"/>
      <c r="E516" s="258"/>
    </row>
    <row r="517" spans="1:5" ht="12.75" x14ac:dyDescent="0.2">
      <c r="A517" s="258"/>
      <c r="B517" s="258"/>
      <c r="C517" s="258"/>
      <c r="D517" s="258"/>
      <c r="E517" s="258"/>
    </row>
    <row r="518" spans="1:5" ht="12.75" x14ac:dyDescent="0.2">
      <c r="A518" s="258"/>
      <c r="B518" s="258"/>
      <c r="C518" s="258"/>
      <c r="D518" s="258"/>
      <c r="E518" s="258"/>
    </row>
    <row r="519" spans="1:5" ht="12.75" x14ac:dyDescent="0.2">
      <c r="A519" s="258"/>
      <c r="B519" s="258"/>
      <c r="C519" s="258"/>
      <c r="D519" s="258"/>
      <c r="E519" s="258"/>
    </row>
    <row r="520" spans="1:5" ht="12.75" x14ac:dyDescent="0.2">
      <c r="A520" s="258"/>
      <c r="B520" s="258"/>
      <c r="C520" s="258"/>
      <c r="D520" s="258"/>
      <c r="E520" s="258"/>
    </row>
    <row r="521" spans="1:5" ht="12.75" x14ac:dyDescent="0.2">
      <c r="A521" s="258"/>
      <c r="B521" s="258"/>
      <c r="C521" s="258"/>
      <c r="D521" s="258"/>
      <c r="E521" s="258"/>
    </row>
    <row r="522" spans="1:5" ht="12.75" x14ac:dyDescent="0.2">
      <c r="A522" s="258"/>
      <c r="B522" s="258"/>
      <c r="C522" s="258"/>
      <c r="D522" s="258"/>
      <c r="E522" s="258"/>
    </row>
    <row r="523" spans="1:5" ht="12.75" x14ac:dyDescent="0.2">
      <c r="A523" s="258"/>
      <c r="B523" s="258"/>
      <c r="C523" s="258"/>
      <c r="D523" s="258"/>
      <c r="E523" s="258"/>
    </row>
    <row r="524" spans="1:5" ht="12.75" x14ac:dyDescent="0.2">
      <c r="A524" s="258"/>
      <c r="B524" s="258"/>
      <c r="C524" s="258"/>
      <c r="D524" s="258"/>
      <c r="E524" s="258"/>
    </row>
    <row r="525" spans="1:5" ht="12.75" x14ac:dyDescent="0.2">
      <c r="A525" s="258"/>
      <c r="B525" s="258"/>
      <c r="C525" s="258"/>
      <c r="D525" s="258"/>
      <c r="E525" s="258"/>
    </row>
    <row r="526" spans="1:5" ht="12.75" x14ac:dyDescent="0.2">
      <c r="A526" s="258"/>
      <c r="B526" s="258"/>
      <c r="C526" s="258"/>
      <c r="D526" s="258"/>
      <c r="E526" s="258"/>
    </row>
    <row r="527" spans="1:5" ht="12.75" x14ac:dyDescent="0.2">
      <c r="A527" s="258"/>
      <c r="B527" s="258"/>
      <c r="C527" s="258"/>
      <c r="D527" s="258"/>
      <c r="E527" s="258"/>
    </row>
    <row r="528" spans="1:5" ht="12.75" x14ac:dyDescent="0.2">
      <c r="A528" s="258"/>
      <c r="B528" s="258"/>
      <c r="C528" s="258"/>
      <c r="D528" s="258"/>
      <c r="E528" s="258"/>
    </row>
    <row r="529" spans="1:5" ht="12.75" x14ac:dyDescent="0.2">
      <c r="A529" s="258"/>
      <c r="B529" s="258"/>
      <c r="C529" s="258"/>
      <c r="D529" s="258"/>
      <c r="E529" s="258"/>
    </row>
    <row r="530" spans="1:5" ht="12.75" x14ac:dyDescent="0.2">
      <c r="A530" s="258"/>
      <c r="B530" s="258"/>
      <c r="C530" s="258"/>
      <c r="D530" s="258"/>
      <c r="E530" s="258"/>
    </row>
    <row r="531" spans="1:5" ht="12.75" x14ac:dyDescent="0.2">
      <c r="A531" s="258"/>
      <c r="B531" s="258"/>
      <c r="C531" s="258"/>
      <c r="D531" s="258"/>
      <c r="E531" s="258"/>
    </row>
    <row r="532" spans="1:5" ht="12.75" x14ac:dyDescent="0.2">
      <c r="A532" s="258"/>
      <c r="B532" s="258"/>
      <c r="C532" s="258"/>
      <c r="D532" s="258"/>
      <c r="E532" s="258"/>
    </row>
    <row r="533" spans="1:5" ht="12.75" x14ac:dyDescent="0.2">
      <c r="A533" s="258"/>
      <c r="B533" s="258"/>
      <c r="C533" s="258"/>
      <c r="D533" s="258"/>
      <c r="E533" s="258"/>
    </row>
    <row r="534" spans="1:5" ht="12.75" x14ac:dyDescent="0.2">
      <c r="A534" s="258"/>
      <c r="B534" s="258"/>
      <c r="C534" s="258"/>
      <c r="D534" s="258"/>
      <c r="E534" s="258"/>
    </row>
    <row r="535" spans="1:5" ht="12.75" x14ac:dyDescent="0.2">
      <c r="A535" s="258"/>
      <c r="B535" s="258"/>
      <c r="C535" s="258"/>
      <c r="D535" s="258"/>
      <c r="E535" s="258"/>
    </row>
    <row r="536" spans="1:5" ht="12.75" x14ac:dyDescent="0.2">
      <c r="A536" s="258"/>
      <c r="B536" s="258"/>
      <c r="C536" s="258"/>
      <c r="D536" s="258"/>
      <c r="E536" s="258"/>
    </row>
    <row r="537" spans="1:5" ht="12.75" x14ac:dyDescent="0.2">
      <c r="A537" s="258"/>
      <c r="B537" s="258"/>
      <c r="C537" s="258"/>
      <c r="D537" s="258"/>
      <c r="E537" s="258"/>
    </row>
    <row r="538" spans="1:5" ht="12.75" x14ac:dyDescent="0.2">
      <c r="A538" s="258"/>
      <c r="B538" s="258"/>
      <c r="C538" s="258"/>
      <c r="D538" s="258"/>
      <c r="E538" s="258"/>
    </row>
    <row r="539" spans="1:5" ht="12.75" x14ac:dyDescent="0.2">
      <c r="A539" s="258"/>
      <c r="B539" s="258"/>
      <c r="C539" s="258"/>
      <c r="D539" s="258"/>
      <c r="E539" s="258"/>
    </row>
    <row r="540" spans="1:5" ht="12.75" x14ac:dyDescent="0.2">
      <c r="A540" s="258"/>
      <c r="B540" s="258"/>
      <c r="C540" s="258"/>
      <c r="D540" s="258"/>
      <c r="E540" s="258"/>
    </row>
    <row r="541" spans="1:5" ht="12.75" x14ac:dyDescent="0.2">
      <c r="A541" s="258"/>
      <c r="B541" s="258"/>
      <c r="C541" s="258"/>
      <c r="D541" s="258"/>
      <c r="E541" s="258"/>
    </row>
    <row r="542" spans="1:5" ht="12.75" x14ac:dyDescent="0.2">
      <c r="A542" s="258"/>
      <c r="B542" s="258"/>
      <c r="C542" s="258"/>
      <c r="D542" s="258"/>
      <c r="E542" s="258"/>
    </row>
    <row r="543" spans="1:5" ht="12.75" x14ac:dyDescent="0.2">
      <c r="A543" s="258"/>
      <c r="B543" s="258"/>
      <c r="C543" s="258"/>
      <c r="D543" s="258"/>
      <c r="E543" s="258"/>
    </row>
    <row r="544" spans="1:5" ht="12.75" x14ac:dyDescent="0.2">
      <c r="A544" s="258"/>
      <c r="B544" s="258"/>
      <c r="C544" s="258"/>
      <c r="D544" s="258"/>
      <c r="E544" s="258"/>
    </row>
    <row r="545" spans="1:5" ht="12.75" x14ac:dyDescent="0.2">
      <c r="A545" s="258"/>
      <c r="B545" s="258"/>
      <c r="C545" s="258"/>
      <c r="D545" s="258"/>
      <c r="E545" s="258"/>
    </row>
    <row r="546" spans="1:5" ht="12.75" x14ac:dyDescent="0.2">
      <c r="A546" s="258"/>
      <c r="B546" s="258"/>
      <c r="C546" s="258"/>
      <c r="D546" s="258"/>
      <c r="E546" s="258"/>
    </row>
    <row r="547" spans="1:5" ht="12.75" x14ac:dyDescent="0.2">
      <c r="A547" s="258"/>
      <c r="B547" s="258"/>
      <c r="C547" s="258"/>
      <c r="D547" s="258"/>
      <c r="E547" s="258"/>
    </row>
    <row r="548" spans="1:5" ht="12.75" x14ac:dyDescent="0.2">
      <c r="A548" s="258"/>
      <c r="B548" s="258"/>
      <c r="C548" s="258"/>
      <c r="D548" s="258"/>
      <c r="E548" s="258"/>
    </row>
    <row r="549" spans="1:5" ht="12.75" x14ac:dyDescent="0.2">
      <c r="A549" s="258"/>
      <c r="B549" s="258"/>
      <c r="C549" s="258"/>
      <c r="D549" s="258"/>
      <c r="E549" s="258"/>
    </row>
    <row r="550" spans="1:5" ht="12.75" x14ac:dyDescent="0.2">
      <c r="A550" s="258"/>
      <c r="B550" s="258"/>
      <c r="C550" s="258"/>
      <c r="D550" s="258"/>
      <c r="E550" s="258"/>
    </row>
    <row r="551" spans="1:5" ht="12.75" x14ac:dyDescent="0.2">
      <c r="A551" s="258"/>
      <c r="B551" s="258"/>
      <c r="C551" s="258"/>
      <c r="D551" s="258"/>
      <c r="E551" s="258"/>
    </row>
    <row r="552" spans="1:5" ht="12.75" x14ac:dyDescent="0.2">
      <c r="A552" s="258"/>
      <c r="B552" s="258"/>
      <c r="C552" s="258"/>
      <c r="D552" s="258"/>
      <c r="E552" s="258"/>
    </row>
    <row r="553" spans="1:5" ht="12.75" x14ac:dyDescent="0.2">
      <c r="A553" s="258"/>
      <c r="B553" s="258"/>
      <c r="C553" s="258"/>
      <c r="D553" s="258"/>
      <c r="E553" s="258"/>
    </row>
    <row r="554" spans="1:5" ht="12.75" x14ac:dyDescent="0.2">
      <c r="A554" s="258"/>
      <c r="B554" s="258"/>
      <c r="C554" s="258"/>
      <c r="D554" s="258"/>
      <c r="E554" s="258"/>
    </row>
    <row r="555" spans="1:5" ht="12.75" x14ac:dyDescent="0.2">
      <c r="A555" s="258"/>
      <c r="B555" s="258"/>
      <c r="C555" s="258"/>
      <c r="D555" s="258"/>
      <c r="E555" s="258"/>
    </row>
    <row r="556" spans="1:5" ht="12.75" x14ac:dyDescent="0.2">
      <c r="A556" s="258"/>
      <c r="B556" s="258"/>
      <c r="C556" s="258"/>
      <c r="D556" s="258"/>
      <c r="E556" s="258"/>
    </row>
    <row r="557" spans="1:5" ht="12.75" x14ac:dyDescent="0.2">
      <c r="A557" s="258"/>
      <c r="B557" s="258"/>
      <c r="C557" s="258"/>
      <c r="D557" s="258"/>
      <c r="E557" s="258"/>
    </row>
    <row r="558" spans="1:5" ht="12.75" x14ac:dyDescent="0.2">
      <c r="A558" s="258"/>
      <c r="B558" s="258"/>
      <c r="C558" s="258"/>
      <c r="D558" s="258"/>
      <c r="E558" s="258"/>
    </row>
    <row r="559" spans="1:5" ht="12.75" x14ac:dyDescent="0.2">
      <c r="A559" s="258"/>
      <c r="B559" s="258"/>
      <c r="C559" s="258"/>
      <c r="D559" s="258"/>
      <c r="E559" s="258"/>
    </row>
    <row r="560" spans="1:5" ht="12.75" x14ac:dyDescent="0.2">
      <c r="A560" s="258"/>
      <c r="B560" s="258"/>
      <c r="C560" s="258"/>
      <c r="D560" s="258"/>
      <c r="E560" s="258"/>
    </row>
    <row r="561" spans="1:5" ht="12.75" x14ac:dyDescent="0.2">
      <c r="A561" s="258"/>
      <c r="B561" s="258"/>
      <c r="C561" s="258"/>
      <c r="D561" s="258"/>
      <c r="E561" s="258"/>
    </row>
    <row r="562" spans="1:5" ht="12.75" x14ac:dyDescent="0.2">
      <c r="A562" s="258"/>
      <c r="B562" s="258"/>
      <c r="C562" s="258"/>
      <c r="D562" s="258"/>
      <c r="E562" s="258"/>
    </row>
    <row r="563" spans="1:5" ht="12.75" x14ac:dyDescent="0.2">
      <c r="A563" s="258"/>
      <c r="B563" s="258"/>
      <c r="C563" s="258"/>
      <c r="D563" s="258"/>
      <c r="E563" s="258"/>
    </row>
    <row r="564" spans="1:5" ht="12.75" x14ac:dyDescent="0.2">
      <c r="A564" s="258"/>
      <c r="B564" s="258"/>
      <c r="C564" s="258"/>
      <c r="D564" s="258"/>
      <c r="E564" s="258"/>
    </row>
    <row r="565" spans="1:5" ht="12.75" x14ac:dyDescent="0.2">
      <c r="A565" s="258"/>
      <c r="B565" s="258"/>
      <c r="C565" s="258"/>
      <c r="D565" s="258"/>
      <c r="E565" s="258"/>
    </row>
    <row r="566" spans="1:5" ht="12.75" x14ac:dyDescent="0.2">
      <c r="A566" s="258"/>
      <c r="B566" s="258"/>
      <c r="C566" s="258"/>
      <c r="D566" s="258"/>
      <c r="E566" s="258"/>
    </row>
    <row r="567" spans="1:5" ht="12.75" x14ac:dyDescent="0.2">
      <c r="A567" s="258"/>
      <c r="B567" s="258"/>
      <c r="C567" s="258"/>
      <c r="D567" s="258"/>
      <c r="E567" s="258"/>
    </row>
    <row r="568" spans="1:5" ht="12.75" x14ac:dyDescent="0.2">
      <c r="A568" s="258"/>
      <c r="B568" s="258"/>
      <c r="C568" s="258"/>
      <c r="D568" s="258"/>
      <c r="E568" s="258"/>
    </row>
    <row r="569" spans="1:5" ht="12.75" x14ac:dyDescent="0.2">
      <c r="A569" s="258"/>
      <c r="B569" s="258"/>
      <c r="C569" s="258"/>
      <c r="D569" s="258"/>
      <c r="E569" s="258"/>
    </row>
    <row r="570" spans="1:5" ht="12.75" x14ac:dyDescent="0.2">
      <c r="A570" s="258"/>
      <c r="B570" s="258"/>
      <c r="C570" s="258"/>
      <c r="D570" s="258"/>
      <c r="E570" s="258"/>
    </row>
    <row r="571" spans="1:5" ht="12.75" x14ac:dyDescent="0.2">
      <c r="A571" s="258"/>
      <c r="B571" s="258"/>
      <c r="C571" s="258"/>
      <c r="D571" s="258"/>
      <c r="E571" s="258"/>
    </row>
    <row r="572" spans="1:5" ht="12.75" x14ac:dyDescent="0.2">
      <c r="A572" s="258"/>
      <c r="B572" s="258"/>
      <c r="C572" s="258"/>
      <c r="D572" s="258"/>
      <c r="E572" s="258"/>
    </row>
    <row r="573" spans="1:5" ht="12.75" x14ac:dyDescent="0.2">
      <c r="A573" s="258"/>
      <c r="B573" s="258"/>
      <c r="C573" s="258"/>
      <c r="D573" s="258"/>
      <c r="E573" s="258"/>
    </row>
    <row r="574" spans="1:5" ht="12.75" x14ac:dyDescent="0.2">
      <c r="A574" s="258"/>
      <c r="B574" s="258"/>
      <c r="C574" s="258"/>
      <c r="D574" s="258"/>
      <c r="E574" s="258"/>
    </row>
    <row r="575" spans="1:5" ht="12.75" x14ac:dyDescent="0.2">
      <c r="A575" s="258"/>
      <c r="B575" s="258"/>
      <c r="C575" s="258"/>
      <c r="D575" s="258"/>
      <c r="E575" s="258"/>
    </row>
    <row r="576" spans="1:5" ht="12.75" x14ac:dyDescent="0.2">
      <c r="A576" s="258"/>
      <c r="B576" s="258"/>
      <c r="C576" s="258"/>
      <c r="D576" s="258"/>
      <c r="E576" s="258"/>
    </row>
    <row r="577" spans="1:5" ht="12.75" x14ac:dyDescent="0.2">
      <c r="A577" s="258"/>
      <c r="B577" s="258"/>
      <c r="C577" s="258"/>
      <c r="D577" s="258"/>
      <c r="E577" s="258"/>
    </row>
    <row r="578" spans="1:5" ht="12.75" x14ac:dyDescent="0.2">
      <c r="A578" s="258"/>
      <c r="B578" s="258"/>
      <c r="C578" s="258"/>
      <c r="D578" s="258"/>
      <c r="E578" s="258"/>
    </row>
    <row r="579" spans="1:5" ht="12.75" x14ac:dyDescent="0.2">
      <c r="A579" s="258"/>
      <c r="B579" s="258"/>
      <c r="C579" s="258"/>
      <c r="D579" s="258"/>
      <c r="E579" s="258"/>
    </row>
    <row r="580" spans="1:5" ht="12.75" x14ac:dyDescent="0.2">
      <c r="A580" s="258"/>
      <c r="B580" s="258"/>
      <c r="C580" s="258"/>
      <c r="D580" s="258"/>
      <c r="E580" s="258"/>
    </row>
    <row r="581" spans="1:5" ht="12.75" x14ac:dyDescent="0.2">
      <c r="A581" s="258"/>
      <c r="B581" s="258"/>
      <c r="C581" s="258"/>
      <c r="D581" s="258"/>
      <c r="E581" s="258"/>
    </row>
    <row r="582" spans="1:5" ht="12.75" x14ac:dyDescent="0.2">
      <c r="A582" s="258"/>
      <c r="B582" s="258"/>
      <c r="C582" s="258"/>
      <c r="D582" s="258"/>
      <c r="E582" s="258"/>
    </row>
    <row r="583" spans="1:5" ht="12.75" x14ac:dyDescent="0.2">
      <c r="A583" s="258"/>
      <c r="B583" s="258"/>
      <c r="C583" s="258"/>
      <c r="D583" s="258"/>
      <c r="E583" s="258"/>
    </row>
    <row r="584" spans="1:5" ht="12.75" x14ac:dyDescent="0.2">
      <c r="A584" s="258"/>
      <c r="B584" s="258"/>
      <c r="C584" s="258"/>
      <c r="D584" s="258"/>
      <c r="E584" s="258"/>
    </row>
    <row r="585" spans="1:5" ht="12.75" x14ac:dyDescent="0.2">
      <c r="A585" s="258"/>
      <c r="B585" s="258"/>
      <c r="C585" s="258"/>
      <c r="D585" s="258"/>
      <c r="E585" s="258"/>
    </row>
    <row r="586" spans="1:5" ht="12.75" x14ac:dyDescent="0.2">
      <c r="A586" s="258"/>
      <c r="B586" s="258"/>
      <c r="C586" s="258"/>
      <c r="D586" s="258"/>
      <c r="E586" s="258"/>
    </row>
    <row r="587" spans="1:5" ht="12.75" x14ac:dyDescent="0.2">
      <c r="A587" s="258"/>
      <c r="B587" s="258"/>
      <c r="C587" s="258"/>
      <c r="D587" s="258"/>
      <c r="E587" s="258"/>
    </row>
    <row r="588" spans="1:5" ht="12.75" x14ac:dyDescent="0.2">
      <c r="A588" s="258"/>
      <c r="B588" s="258"/>
      <c r="C588" s="258"/>
      <c r="D588" s="258"/>
      <c r="E588" s="258"/>
    </row>
    <row r="589" spans="1:5" ht="12.75" x14ac:dyDescent="0.2">
      <c r="A589" s="258"/>
      <c r="B589" s="258"/>
      <c r="C589" s="258"/>
      <c r="D589" s="258"/>
      <c r="E589" s="258"/>
    </row>
    <row r="590" spans="1:5" ht="12.75" x14ac:dyDescent="0.2">
      <c r="A590" s="258"/>
      <c r="B590" s="258"/>
      <c r="C590" s="258"/>
      <c r="D590" s="258"/>
      <c r="E590" s="258"/>
    </row>
    <row r="591" spans="1:5" ht="12.75" x14ac:dyDescent="0.2">
      <c r="A591" s="258"/>
      <c r="B591" s="258"/>
      <c r="C591" s="258"/>
      <c r="D591" s="258"/>
      <c r="E591" s="258"/>
    </row>
    <row r="592" spans="1:5" ht="12.75" x14ac:dyDescent="0.2">
      <c r="A592" s="258"/>
      <c r="B592" s="258"/>
      <c r="C592" s="258"/>
      <c r="D592" s="258"/>
      <c r="E592" s="258"/>
    </row>
    <row r="593" spans="1:5" ht="12.75" x14ac:dyDescent="0.2">
      <c r="A593" s="258"/>
      <c r="B593" s="258"/>
      <c r="C593" s="258"/>
      <c r="D593" s="258"/>
      <c r="E593" s="258"/>
    </row>
    <row r="594" spans="1:5" ht="12.75" x14ac:dyDescent="0.2">
      <c r="A594" s="258"/>
      <c r="B594" s="258"/>
      <c r="C594" s="258"/>
      <c r="D594" s="258"/>
      <c r="E594" s="258"/>
    </row>
    <row r="595" spans="1:5" ht="12.75" x14ac:dyDescent="0.2">
      <c r="A595" s="258"/>
      <c r="B595" s="258"/>
      <c r="C595" s="258"/>
      <c r="D595" s="258"/>
      <c r="E595" s="258"/>
    </row>
    <row r="596" spans="1:5" ht="12.75" x14ac:dyDescent="0.2">
      <c r="A596" s="258"/>
      <c r="B596" s="258"/>
      <c r="C596" s="258"/>
      <c r="D596" s="258"/>
      <c r="E596" s="258"/>
    </row>
    <row r="597" spans="1:5" ht="12.75" x14ac:dyDescent="0.2">
      <c r="A597" s="258"/>
      <c r="B597" s="258"/>
      <c r="C597" s="258"/>
      <c r="D597" s="258"/>
      <c r="E597" s="258"/>
    </row>
    <row r="598" spans="1:5" ht="12.75" x14ac:dyDescent="0.2">
      <c r="A598" s="258"/>
      <c r="B598" s="258"/>
      <c r="C598" s="258"/>
      <c r="D598" s="258"/>
      <c r="E598" s="258"/>
    </row>
    <row r="599" spans="1:5" ht="12.75" x14ac:dyDescent="0.2">
      <c r="A599" s="258"/>
      <c r="B599" s="258"/>
      <c r="C599" s="258"/>
      <c r="D599" s="258"/>
      <c r="E599" s="258"/>
    </row>
    <row r="600" spans="1:5" ht="12.75" x14ac:dyDescent="0.2">
      <c r="A600" s="258"/>
      <c r="B600" s="258"/>
      <c r="C600" s="258"/>
      <c r="D600" s="258"/>
      <c r="E600" s="258"/>
    </row>
    <row r="601" spans="1:5" ht="12.75" x14ac:dyDescent="0.2">
      <c r="A601" s="258"/>
      <c r="B601" s="258"/>
      <c r="C601" s="258"/>
      <c r="D601" s="258"/>
      <c r="E601" s="258"/>
    </row>
    <row r="602" spans="1:5" ht="12.75" x14ac:dyDescent="0.2">
      <c r="A602" s="258"/>
      <c r="B602" s="258"/>
      <c r="C602" s="258"/>
      <c r="D602" s="258"/>
      <c r="E602" s="258"/>
    </row>
    <row r="603" spans="1:5" ht="12.75" x14ac:dyDescent="0.2">
      <c r="A603" s="258"/>
      <c r="B603" s="258"/>
      <c r="C603" s="258"/>
      <c r="D603" s="258"/>
      <c r="E603" s="258"/>
    </row>
    <row r="604" spans="1:5" ht="12.75" x14ac:dyDescent="0.2">
      <c r="A604" s="258"/>
      <c r="B604" s="258"/>
      <c r="C604" s="258"/>
      <c r="D604" s="258"/>
      <c r="E604" s="258"/>
    </row>
    <row r="605" spans="1:5" ht="12.75" x14ac:dyDescent="0.2">
      <c r="A605" s="258"/>
      <c r="B605" s="258"/>
      <c r="C605" s="258"/>
      <c r="D605" s="258"/>
      <c r="E605" s="258"/>
    </row>
    <row r="606" spans="1:5" ht="12.75" x14ac:dyDescent="0.2">
      <c r="A606" s="258"/>
      <c r="B606" s="258"/>
      <c r="C606" s="258"/>
      <c r="D606" s="258"/>
      <c r="E606" s="258"/>
    </row>
    <row r="607" spans="1:5" ht="12.75" x14ac:dyDescent="0.2">
      <c r="A607" s="258"/>
      <c r="B607" s="258"/>
      <c r="C607" s="258"/>
      <c r="D607" s="258"/>
      <c r="E607" s="258"/>
    </row>
    <row r="608" spans="1:5" ht="12.75" x14ac:dyDescent="0.2">
      <c r="A608" s="258"/>
      <c r="B608" s="258"/>
      <c r="C608" s="258"/>
      <c r="D608" s="258"/>
      <c r="E608" s="258"/>
    </row>
    <row r="609" spans="1:5" ht="12.75" x14ac:dyDescent="0.2">
      <c r="A609" s="258"/>
      <c r="B609" s="258"/>
      <c r="C609" s="258"/>
      <c r="D609" s="258"/>
      <c r="E609" s="258"/>
    </row>
    <row r="610" spans="1:5" ht="12.75" x14ac:dyDescent="0.2">
      <c r="A610" s="258"/>
      <c r="B610" s="258"/>
      <c r="C610" s="258"/>
      <c r="D610" s="258"/>
      <c r="E610" s="258"/>
    </row>
    <row r="611" spans="1:5" ht="12.75" x14ac:dyDescent="0.2">
      <c r="A611" s="258"/>
      <c r="B611" s="258"/>
      <c r="C611" s="258"/>
      <c r="D611" s="258"/>
      <c r="E611" s="258"/>
    </row>
    <row r="612" spans="1:5" ht="12.75" x14ac:dyDescent="0.2">
      <c r="A612" s="258"/>
      <c r="B612" s="258"/>
      <c r="C612" s="258"/>
      <c r="D612" s="258"/>
      <c r="E612" s="258"/>
    </row>
    <row r="613" spans="1:5" ht="12.75" x14ac:dyDescent="0.2">
      <c r="A613" s="258"/>
      <c r="B613" s="258"/>
      <c r="C613" s="258"/>
      <c r="D613" s="258"/>
      <c r="E613" s="258"/>
    </row>
    <row r="614" spans="1:5" ht="12.75" x14ac:dyDescent="0.2">
      <c r="A614" s="258"/>
      <c r="B614" s="258"/>
      <c r="C614" s="258"/>
      <c r="D614" s="258"/>
      <c r="E614" s="258"/>
    </row>
    <row r="615" spans="1:5" ht="12.75" x14ac:dyDescent="0.2">
      <c r="A615" s="258"/>
      <c r="B615" s="258"/>
      <c r="C615" s="258"/>
      <c r="D615" s="258"/>
      <c r="E615" s="258"/>
    </row>
    <row r="616" spans="1:5" ht="12.75" x14ac:dyDescent="0.2">
      <c r="A616" s="258"/>
      <c r="B616" s="258"/>
      <c r="C616" s="258"/>
      <c r="D616" s="258"/>
      <c r="E616" s="258"/>
    </row>
    <row r="617" spans="1:5" ht="12.75" x14ac:dyDescent="0.2">
      <c r="A617" s="258"/>
      <c r="B617" s="258"/>
      <c r="C617" s="258"/>
      <c r="D617" s="258"/>
      <c r="E617" s="258"/>
    </row>
    <row r="618" spans="1:5" ht="12.75" x14ac:dyDescent="0.2">
      <c r="A618" s="258"/>
      <c r="B618" s="258"/>
      <c r="C618" s="258"/>
      <c r="D618" s="258"/>
      <c r="E618" s="258"/>
    </row>
    <row r="619" spans="1:5" ht="12.75" x14ac:dyDescent="0.2">
      <c r="A619" s="258"/>
      <c r="B619" s="258"/>
      <c r="C619" s="258"/>
      <c r="D619" s="258"/>
      <c r="E619" s="258"/>
    </row>
    <row r="620" spans="1:5" ht="12.75" x14ac:dyDescent="0.2">
      <c r="A620" s="258"/>
      <c r="B620" s="258"/>
      <c r="C620" s="258"/>
      <c r="D620" s="258"/>
      <c r="E620" s="258"/>
    </row>
    <row r="621" spans="1:5" ht="12.75" x14ac:dyDescent="0.2">
      <c r="A621" s="258"/>
      <c r="B621" s="258"/>
      <c r="C621" s="258"/>
      <c r="D621" s="258"/>
      <c r="E621" s="258"/>
    </row>
    <row r="622" spans="1:5" ht="12.75" x14ac:dyDescent="0.2">
      <c r="A622" s="258"/>
      <c r="B622" s="258"/>
      <c r="C622" s="258"/>
      <c r="D622" s="258"/>
      <c r="E622" s="258"/>
    </row>
    <row r="623" spans="1:5" ht="12.75" x14ac:dyDescent="0.2">
      <c r="A623" s="258"/>
      <c r="B623" s="258"/>
      <c r="C623" s="258"/>
      <c r="D623" s="258"/>
      <c r="E623" s="258"/>
    </row>
    <row r="624" spans="1:5" ht="12.75" x14ac:dyDescent="0.2">
      <c r="A624" s="258"/>
      <c r="B624" s="258"/>
      <c r="C624" s="258"/>
      <c r="D624" s="258"/>
      <c r="E624" s="258"/>
    </row>
    <row r="625" spans="1:5" ht="12.75" x14ac:dyDescent="0.2">
      <c r="A625" s="258"/>
      <c r="B625" s="258"/>
      <c r="C625" s="258"/>
      <c r="D625" s="258"/>
      <c r="E625" s="258"/>
    </row>
    <row r="626" spans="1:5" ht="12.75" x14ac:dyDescent="0.2">
      <c r="A626" s="258"/>
      <c r="B626" s="258"/>
      <c r="C626" s="258"/>
      <c r="D626" s="258"/>
      <c r="E626" s="258"/>
    </row>
    <row r="627" spans="1:5" ht="12.75" x14ac:dyDescent="0.2">
      <c r="A627" s="258"/>
      <c r="B627" s="258"/>
      <c r="C627" s="258"/>
      <c r="D627" s="258"/>
      <c r="E627" s="258"/>
    </row>
    <row r="628" spans="1:5" ht="12.75" x14ac:dyDescent="0.2">
      <c r="A628" s="258"/>
      <c r="B628" s="258"/>
      <c r="C628" s="258"/>
      <c r="D628" s="258"/>
      <c r="E628" s="258"/>
    </row>
    <row r="629" spans="1:5" ht="12.75" x14ac:dyDescent="0.2">
      <c r="A629" s="258"/>
      <c r="B629" s="258"/>
      <c r="C629" s="258"/>
      <c r="D629" s="258"/>
      <c r="E629" s="258"/>
    </row>
    <row r="630" spans="1:5" ht="12.75" x14ac:dyDescent="0.2">
      <c r="A630" s="258"/>
      <c r="B630" s="258"/>
      <c r="C630" s="258"/>
      <c r="D630" s="258"/>
      <c r="E630" s="258"/>
    </row>
    <row r="631" spans="1:5" ht="12.75" x14ac:dyDescent="0.2">
      <c r="A631" s="258"/>
      <c r="B631" s="258"/>
      <c r="C631" s="258"/>
      <c r="D631" s="258"/>
      <c r="E631" s="258"/>
    </row>
    <row r="632" spans="1:5" ht="12.75" x14ac:dyDescent="0.2">
      <c r="A632" s="258"/>
      <c r="B632" s="258"/>
      <c r="C632" s="258"/>
      <c r="D632" s="258"/>
      <c r="E632" s="258"/>
    </row>
    <row r="633" spans="1:5" ht="12.75" x14ac:dyDescent="0.2">
      <c r="A633" s="258"/>
      <c r="B633" s="258"/>
      <c r="C633" s="258"/>
      <c r="D633" s="258"/>
      <c r="E633" s="258"/>
    </row>
    <row r="634" spans="1:5" ht="12.75" x14ac:dyDescent="0.2">
      <c r="A634" s="258"/>
      <c r="B634" s="258"/>
      <c r="C634" s="258"/>
      <c r="D634" s="258"/>
      <c r="E634" s="258"/>
    </row>
    <row r="635" spans="1:5" ht="12.75" x14ac:dyDescent="0.2">
      <c r="A635" s="258"/>
      <c r="B635" s="258"/>
      <c r="C635" s="258"/>
      <c r="D635" s="258"/>
      <c r="E635" s="258"/>
    </row>
    <row r="636" spans="1:5" ht="12.75" x14ac:dyDescent="0.2">
      <c r="A636" s="258"/>
      <c r="B636" s="258"/>
      <c r="C636" s="258"/>
      <c r="D636" s="258"/>
      <c r="E636" s="258"/>
    </row>
    <row r="637" spans="1:5" ht="12.75" x14ac:dyDescent="0.2">
      <c r="A637" s="258"/>
      <c r="B637" s="258"/>
      <c r="C637" s="258"/>
      <c r="D637" s="258"/>
      <c r="E637" s="258"/>
    </row>
    <row r="638" spans="1:5" ht="12.75" x14ac:dyDescent="0.2">
      <c r="A638" s="258"/>
      <c r="B638" s="258"/>
      <c r="C638" s="258"/>
      <c r="D638" s="258"/>
      <c r="E638" s="258"/>
    </row>
    <row r="639" spans="1:5" ht="12.75" x14ac:dyDescent="0.2">
      <c r="A639" s="258"/>
      <c r="B639" s="258"/>
      <c r="C639" s="258"/>
      <c r="D639" s="258"/>
      <c r="E639" s="258"/>
    </row>
    <row r="640" spans="1:5" ht="12.75" x14ac:dyDescent="0.2">
      <c r="A640" s="258"/>
      <c r="B640" s="258"/>
      <c r="C640" s="258"/>
      <c r="D640" s="258"/>
      <c r="E640" s="258"/>
    </row>
    <row r="641" spans="1:5" ht="12.75" x14ac:dyDescent="0.2">
      <c r="A641" s="258"/>
      <c r="B641" s="258"/>
      <c r="C641" s="258"/>
      <c r="D641" s="258"/>
      <c r="E641" s="258"/>
    </row>
    <row r="642" spans="1:5" ht="12.75" x14ac:dyDescent="0.2">
      <c r="A642" s="258"/>
      <c r="B642" s="258"/>
      <c r="C642" s="258"/>
      <c r="D642" s="258"/>
      <c r="E642" s="258"/>
    </row>
    <row r="643" spans="1:5" ht="12.75" x14ac:dyDescent="0.2">
      <c r="A643" s="258"/>
      <c r="B643" s="258"/>
      <c r="C643" s="258"/>
      <c r="D643" s="258"/>
      <c r="E643" s="258"/>
    </row>
    <row r="644" spans="1:5" ht="12.75" x14ac:dyDescent="0.2">
      <c r="A644" s="258"/>
      <c r="B644" s="258"/>
      <c r="C644" s="258"/>
      <c r="D644" s="258"/>
      <c r="E644" s="258"/>
    </row>
    <row r="645" spans="1:5" ht="12.75" x14ac:dyDescent="0.2">
      <c r="A645" s="258"/>
      <c r="B645" s="258"/>
      <c r="C645" s="258"/>
      <c r="D645" s="258"/>
      <c r="E645" s="258"/>
    </row>
    <row r="646" spans="1:5" ht="12.75" x14ac:dyDescent="0.2">
      <c r="A646" s="258"/>
      <c r="B646" s="258"/>
      <c r="C646" s="258"/>
      <c r="D646" s="258"/>
      <c r="E646" s="258"/>
    </row>
    <row r="647" spans="1:5" ht="12.75" x14ac:dyDescent="0.2">
      <c r="A647" s="258"/>
      <c r="B647" s="258"/>
      <c r="C647" s="258"/>
      <c r="D647" s="258"/>
      <c r="E647" s="258"/>
    </row>
    <row r="648" spans="1:5" ht="12.75" x14ac:dyDescent="0.2">
      <c r="A648" s="258"/>
      <c r="B648" s="258"/>
      <c r="C648" s="258"/>
      <c r="D648" s="258"/>
      <c r="E648" s="258"/>
    </row>
    <row r="649" spans="1:5" ht="12.75" x14ac:dyDescent="0.2">
      <c r="A649" s="258"/>
      <c r="B649" s="258"/>
      <c r="C649" s="258"/>
      <c r="D649" s="258"/>
      <c r="E649" s="258"/>
    </row>
    <row r="650" spans="1:5" ht="12.75" x14ac:dyDescent="0.2">
      <c r="A650" s="258"/>
      <c r="B650" s="258"/>
      <c r="C650" s="258"/>
      <c r="D650" s="258"/>
      <c r="E650" s="258"/>
    </row>
    <row r="651" spans="1:5" ht="12.75" x14ac:dyDescent="0.2">
      <c r="A651" s="258"/>
      <c r="B651" s="258"/>
      <c r="C651" s="258"/>
      <c r="D651" s="258"/>
      <c r="E651" s="258"/>
    </row>
    <row r="652" spans="1:5" ht="12.75" x14ac:dyDescent="0.2">
      <c r="A652" s="258"/>
      <c r="B652" s="258"/>
      <c r="C652" s="258"/>
      <c r="D652" s="258"/>
      <c r="E652" s="258"/>
    </row>
    <row r="653" spans="1:5" ht="12.75" x14ac:dyDescent="0.2">
      <c r="A653" s="258"/>
      <c r="B653" s="258"/>
      <c r="C653" s="258"/>
      <c r="D653" s="258"/>
      <c r="E653" s="258"/>
    </row>
    <row r="654" spans="1:5" ht="12.75" x14ac:dyDescent="0.2">
      <c r="A654" s="258"/>
      <c r="B654" s="258"/>
      <c r="C654" s="258"/>
      <c r="D654" s="258"/>
      <c r="E654" s="258"/>
    </row>
    <row r="655" spans="1:5" ht="12.75" x14ac:dyDescent="0.2">
      <c r="A655" s="258"/>
      <c r="B655" s="258"/>
      <c r="C655" s="258"/>
      <c r="D655" s="258"/>
      <c r="E655" s="258"/>
    </row>
    <row r="656" spans="1:5" ht="12.75" x14ac:dyDescent="0.2">
      <c r="A656" s="258"/>
      <c r="B656" s="258"/>
      <c r="C656" s="258"/>
      <c r="D656" s="258"/>
      <c r="E656" s="258"/>
    </row>
    <row r="657" spans="1:5" ht="12.75" x14ac:dyDescent="0.2">
      <c r="A657" s="258"/>
      <c r="B657" s="258"/>
      <c r="C657" s="258"/>
      <c r="D657" s="258"/>
      <c r="E657" s="258"/>
    </row>
    <row r="658" spans="1:5" ht="12.75" x14ac:dyDescent="0.2">
      <c r="A658" s="258"/>
      <c r="B658" s="258"/>
      <c r="C658" s="258"/>
      <c r="D658" s="258"/>
      <c r="E658" s="258"/>
    </row>
    <row r="659" spans="1:5" ht="12.75" x14ac:dyDescent="0.2">
      <c r="A659" s="258"/>
      <c r="B659" s="258"/>
      <c r="C659" s="258"/>
      <c r="D659" s="258"/>
      <c r="E659" s="258"/>
    </row>
    <row r="660" spans="1:5" ht="12.75" x14ac:dyDescent="0.2">
      <c r="A660" s="258"/>
      <c r="B660" s="258"/>
      <c r="C660" s="258"/>
      <c r="D660" s="258"/>
      <c r="E660" s="258"/>
    </row>
    <row r="661" spans="1:5" ht="12.75" x14ac:dyDescent="0.2">
      <c r="A661" s="258"/>
      <c r="B661" s="258"/>
      <c r="C661" s="258"/>
      <c r="D661" s="258"/>
      <c r="E661" s="258"/>
    </row>
    <row r="662" spans="1:5" ht="12.75" x14ac:dyDescent="0.2">
      <c r="A662" s="258"/>
      <c r="B662" s="258"/>
      <c r="C662" s="258"/>
      <c r="D662" s="258"/>
      <c r="E662" s="258"/>
    </row>
    <row r="663" spans="1:5" ht="12.75" x14ac:dyDescent="0.2">
      <c r="A663" s="258"/>
      <c r="B663" s="258"/>
      <c r="C663" s="258"/>
      <c r="D663" s="258"/>
      <c r="E663" s="258"/>
    </row>
    <row r="664" spans="1:5" ht="12.75" x14ac:dyDescent="0.2">
      <c r="A664" s="258"/>
      <c r="B664" s="258"/>
      <c r="C664" s="258"/>
      <c r="D664" s="258"/>
      <c r="E664" s="258"/>
    </row>
    <row r="665" spans="1:5" ht="12.75" x14ac:dyDescent="0.2">
      <c r="A665" s="258"/>
      <c r="B665" s="258"/>
      <c r="C665" s="258"/>
      <c r="D665" s="258"/>
      <c r="E665" s="258"/>
    </row>
    <row r="666" spans="1:5" ht="12.75" x14ac:dyDescent="0.2">
      <c r="A666" s="258"/>
      <c r="B666" s="258"/>
      <c r="C666" s="258"/>
      <c r="D666" s="258"/>
      <c r="E666" s="258"/>
    </row>
    <row r="667" spans="1:5" ht="12.75" x14ac:dyDescent="0.2">
      <c r="A667" s="258"/>
      <c r="B667" s="258"/>
      <c r="C667" s="258"/>
      <c r="D667" s="258"/>
      <c r="E667" s="258"/>
    </row>
    <row r="668" spans="1:5" ht="12.75" x14ac:dyDescent="0.2">
      <c r="A668" s="258"/>
      <c r="B668" s="258"/>
      <c r="C668" s="258"/>
      <c r="D668" s="258"/>
      <c r="E668" s="258"/>
    </row>
    <row r="669" spans="1:5" ht="12.75" x14ac:dyDescent="0.2">
      <c r="A669" s="258"/>
      <c r="B669" s="258"/>
      <c r="C669" s="258"/>
      <c r="D669" s="258"/>
      <c r="E669" s="258"/>
    </row>
    <row r="670" spans="1:5" ht="12.75" x14ac:dyDescent="0.2">
      <c r="A670" s="258"/>
      <c r="B670" s="258"/>
      <c r="C670" s="258"/>
      <c r="D670" s="258"/>
      <c r="E670" s="258"/>
    </row>
    <row r="671" spans="1:5" ht="12.75" x14ac:dyDescent="0.2">
      <c r="A671" s="258"/>
      <c r="B671" s="258"/>
      <c r="C671" s="258"/>
      <c r="D671" s="258"/>
      <c r="E671" s="258"/>
    </row>
    <row r="672" spans="1:5" ht="12.75" x14ac:dyDescent="0.2">
      <c r="A672" s="258"/>
      <c r="B672" s="258"/>
      <c r="C672" s="258"/>
      <c r="D672" s="258"/>
      <c r="E672" s="258"/>
    </row>
    <row r="673" spans="1:5" ht="12.75" x14ac:dyDescent="0.2">
      <c r="A673" s="258"/>
      <c r="B673" s="258"/>
      <c r="C673" s="258"/>
      <c r="D673" s="258"/>
      <c r="E673" s="258"/>
    </row>
    <row r="674" spans="1:5" ht="12.75" x14ac:dyDescent="0.2">
      <c r="A674" s="258"/>
      <c r="B674" s="258"/>
      <c r="C674" s="258"/>
      <c r="D674" s="258"/>
      <c r="E674" s="258"/>
    </row>
    <row r="675" spans="1:5" ht="12.75" x14ac:dyDescent="0.2">
      <c r="A675" s="258"/>
      <c r="B675" s="258"/>
      <c r="C675" s="258"/>
      <c r="D675" s="258"/>
      <c r="E675" s="258"/>
    </row>
    <row r="676" spans="1:5" ht="12.75" x14ac:dyDescent="0.2">
      <c r="A676" s="258"/>
      <c r="B676" s="258"/>
      <c r="C676" s="258"/>
      <c r="D676" s="258"/>
      <c r="E676" s="258"/>
    </row>
    <row r="677" spans="1:5" ht="12.75" x14ac:dyDescent="0.2">
      <c r="A677" s="258"/>
      <c r="B677" s="258"/>
      <c r="C677" s="258"/>
      <c r="D677" s="258"/>
      <c r="E677" s="258"/>
    </row>
    <row r="678" spans="1:5" ht="12.75" x14ac:dyDescent="0.2">
      <c r="A678" s="258"/>
      <c r="B678" s="258"/>
      <c r="C678" s="258"/>
      <c r="D678" s="258"/>
      <c r="E678" s="258"/>
    </row>
    <row r="679" spans="1:5" ht="12.75" x14ac:dyDescent="0.2">
      <c r="A679" s="258"/>
      <c r="B679" s="258"/>
      <c r="C679" s="258"/>
      <c r="D679" s="258"/>
      <c r="E679" s="258"/>
    </row>
    <row r="680" spans="1:5" ht="12.75" x14ac:dyDescent="0.2">
      <c r="A680" s="258"/>
      <c r="B680" s="258"/>
      <c r="C680" s="258"/>
      <c r="D680" s="258"/>
      <c r="E680" s="258"/>
    </row>
    <row r="681" spans="1:5" ht="12.75" x14ac:dyDescent="0.2">
      <c r="A681" s="258"/>
      <c r="B681" s="258"/>
      <c r="C681" s="258"/>
      <c r="D681" s="258"/>
      <c r="E681" s="258"/>
    </row>
    <row r="682" spans="1:5" ht="12.75" x14ac:dyDescent="0.2">
      <c r="A682" s="258"/>
      <c r="B682" s="258"/>
      <c r="C682" s="258"/>
      <c r="D682" s="258"/>
      <c r="E682" s="258"/>
    </row>
    <row r="683" spans="1:5" ht="12.75" x14ac:dyDescent="0.2">
      <c r="A683" s="258"/>
      <c r="B683" s="258"/>
      <c r="C683" s="258"/>
      <c r="D683" s="258"/>
      <c r="E683" s="258"/>
    </row>
    <row r="684" spans="1:5" ht="12.75" x14ac:dyDescent="0.2">
      <c r="A684" s="258"/>
      <c r="B684" s="258"/>
      <c r="C684" s="258"/>
      <c r="D684" s="258"/>
      <c r="E684" s="258"/>
    </row>
    <row r="685" spans="1:5" ht="12.75" x14ac:dyDescent="0.2">
      <c r="A685" s="258"/>
      <c r="B685" s="258"/>
      <c r="C685" s="258"/>
      <c r="D685" s="258"/>
      <c r="E685" s="258"/>
    </row>
    <row r="686" spans="1:5" ht="12.75" x14ac:dyDescent="0.2">
      <c r="A686" s="258"/>
      <c r="B686" s="258"/>
      <c r="C686" s="258"/>
      <c r="D686" s="258"/>
      <c r="E686" s="258"/>
    </row>
    <row r="687" spans="1:5" ht="12.75" x14ac:dyDescent="0.2">
      <c r="A687" s="258"/>
      <c r="B687" s="258"/>
      <c r="C687" s="258"/>
      <c r="D687" s="258"/>
      <c r="E687" s="258"/>
    </row>
    <row r="688" spans="1:5" ht="12.75" x14ac:dyDescent="0.2">
      <c r="A688" s="258"/>
      <c r="B688" s="258"/>
      <c r="C688" s="258"/>
      <c r="D688" s="258"/>
      <c r="E688" s="258"/>
    </row>
    <row r="689" spans="1:5" ht="12.75" x14ac:dyDescent="0.2">
      <c r="A689" s="258"/>
      <c r="B689" s="258"/>
      <c r="C689" s="258"/>
      <c r="D689" s="258"/>
      <c r="E689" s="258"/>
    </row>
    <row r="690" spans="1:5" ht="12.75" x14ac:dyDescent="0.2">
      <c r="A690" s="258"/>
      <c r="B690" s="258"/>
      <c r="C690" s="258"/>
      <c r="D690" s="258"/>
      <c r="E690" s="258"/>
    </row>
    <row r="691" spans="1:5" ht="12.75" x14ac:dyDescent="0.2">
      <c r="A691" s="258"/>
      <c r="B691" s="258"/>
      <c r="C691" s="258"/>
      <c r="D691" s="258"/>
      <c r="E691" s="258"/>
    </row>
    <row r="692" spans="1:5" ht="12.75" x14ac:dyDescent="0.2">
      <c r="A692" s="258"/>
      <c r="B692" s="258"/>
      <c r="C692" s="258"/>
      <c r="D692" s="258"/>
      <c r="E692" s="258"/>
    </row>
    <row r="693" spans="1:5" ht="12.75" x14ac:dyDescent="0.2">
      <c r="A693" s="258"/>
      <c r="B693" s="258"/>
      <c r="C693" s="258"/>
      <c r="D693" s="258"/>
      <c r="E693" s="258"/>
    </row>
    <row r="694" spans="1:5" ht="12.75" x14ac:dyDescent="0.2">
      <c r="A694" s="258"/>
      <c r="B694" s="258"/>
      <c r="C694" s="258"/>
      <c r="D694" s="258"/>
      <c r="E694" s="258"/>
    </row>
    <row r="695" spans="1:5" ht="12.75" x14ac:dyDescent="0.2">
      <c r="A695" s="258"/>
      <c r="B695" s="258"/>
      <c r="C695" s="258"/>
      <c r="D695" s="258"/>
      <c r="E695" s="258"/>
    </row>
    <row r="696" spans="1:5" ht="12.75" x14ac:dyDescent="0.2">
      <c r="A696" s="258"/>
      <c r="B696" s="258"/>
      <c r="C696" s="258"/>
      <c r="D696" s="258"/>
      <c r="E696" s="258"/>
    </row>
    <row r="697" spans="1:5" ht="12.75" x14ac:dyDescent="0.2">
      <c r="A697" s="258"/>
      <c r="B697" s="258"/>
      <c r="C697" s="258"/>
      <c r="D697" s="258"/>
      <c r="E697" s="258"/>
    </row>
    <row r="698" spans="1:5" ht="12.75" x14ac:dyDescent="0.2">
      <c r="A698" s="258"/>
      <c r="B698" s="258"/>
      <c r="C698" s="258"/>
      <c r="D698" s="258"/>
      <c r="E698" s="258"/>
    </row>
    <row r="699" spans="1:5" ht="12.75" x14ac:dyDescent="0.2">
      <c r="A699" s="258"/>
      <c r="B699" s="258"/>
      <c r="C699" s="258"/>
      <c r="D699" s="258"/>
      <c r="E699" s="258"/>
    </row>
    <row r="700" spans="1:5" ht="12.75" x14ac:dyDescent="0.2">
      <c r="A700" s="258"/>
      <c r="B700" s="258"/>
      <c r="C700" s="258"/>
      <c r="D700" s="258"/>
      <c r="E700" s="258"/>
    </row>
    <row r="701" spans="1:5" ht="12.75" x14ac:dyDescent="0.2">
      <c r="A701" s="258"/>
      <c r="B701" s="258"/>
      <c r="C701" s="258"/>
      <c r="D701" s="258"/>
      <c r="E701" s="258"/>
    </row>
    <row r="702" spans="1:5" ht="12.75" x14ac:dyDescent="0.2">
      <c r="A702" s="258"/>
      <c r="B702" s="258"/>
      <c r="C702" s="258"/>
      <c r="D702" s="258"/>
      <c r="E702" s="258"/>
    </row>
    <row r="703" spans="1:5" ht="12.75" x14ac:dyDescent="0.2">
      <c r="A703" s="258"/>
      <c r="B703" s="258"/>
      <c r="C703" s="258"/>
      <c r="D703" s="258"/>
      <c r="E703" s="258"/>
    </row>
    <row r="704" spans="1:5" ht="12.75" x14ac:dyDescent="0.2">
      <c r="A704" s="258"/>
      <c r="B704" s="258"/>
      <c r="C704" s="258"/>
      <c r="D704" s="258"/>
      <c r="E704" s="258"/>
    </row>
    <row r="705" spans="1:5" ht="12.75" x14ac:dyDescent="0.2">
      <c r="A705" s="258"/>
      <c r="B705" s="258"/>
      <c r="C705" s="258"/>
      <c r="D705" s="258"/>
      <c r="E705" s="258"/>
    </row>
    <row r="706" spans="1:5" ht="12.75" x14ac:dyDescent="0.2">
      <c r="A706" s="258"/>
      <c r="B706" s="258"/>
      <c r="C706" s="258"/>
      <c r="D706" s="258"/>
      <c r="E706" s="258"/>
    </row>
    <row r="707" spans="1:5" ht="12.75" x14ac:dyDescent="0.2">
      <c r="A707" s="258"/>
      <c r="B707" s="258"/>
      <c r="C707" s="258"/>
      <c r="D707" s="258"/>
      <c r="E707" s="258"/>
    </row>
    <row r="708" spans="1:5" ht="12.75" x14ac:dyDescent="0.2">
      <c r="A708" s="258"/>
      <c r="B708" s="258"/>
      <c r="C708" s="258"/>
      <c r="D708" s="258"/>
      <c r="E708" s="258"/>
    </row>
    <row r="709" spans="1:5" ht="12.75" x14ac:dyDescent="0.2">
      <c r="A709" s="258"/>
      <c r="B709" s="258"/>
      <c r="C709" s="258"/>
      <c r="D709" s="258"/>
      <c r="E709" s="258"/>
    </row>
    <row r="710" spans="1:5" ht="12.75" x14ac:dyDescent="0.2">
      <c r="A710" s="258"/>
      <c r="B710" s="258"/>
      <c r="C710" s="258"/>
      <c r="D710" s="258"/>
      <c r="E710" s="258"/>
    </row>
    <row r="711" spans="1:5" ht="12.75" x14ac:dyDescent="0.2">
      <c r="A711" s="258"/>
      <c r="B711" s="258"/>
      <c r="C711" s="258"/>
      <c r="D711" s="258"/>
      <c r="E711" s="258"/>
    </row>
    <row r="712" spans="1:5" ht="12.75" x14ac:dyDescent="0.2">
      <c r="A712" s="258"/>
      <c r="B712" s="258"/>
      <c r="C712" s="258"/>
      <c r="D712" s="258"/>
      <c r="E712" s="258"/>
    </row>
    <row r="713" spans="1:5" ht="12.75" x14ac:dyDescent="0.2">
      <c r="A713" s="258"/>
      <c r="B713" s="258"/>
      <c r="C713" s="258"/>
      <c r="D713" s="258"/>
      <c r="E713" s="258"/>
    </row>
    <row r="714" spans="1:5" ht="12.75" x14ac:dyDescent="0.2">
      <c r="A714" s="258"/>
      <c r="B714" s="258"/>
      <c r="C714" s="258"/>
      <c r="D714" s="258"/>
      <c r="E714" s="258"/>
    </row>
    <row r="715" spans="1:5" ht="12.75" x14ac:dyDescent="0.2">
      <c r="A715" s="258"/>
      <c r="B715" s="258"/>
      <c r="C715" s="258"/>
      <c r="D715" s="258"/>
      <c r="E715" s="258"/>
    </row>
    <row r="716" spans="1:5" ht="12.75" x14ac:dyDescent="0.2">
      <c r="A716" s="258"/>
      <c r="B716" s="258"/>
      <c r="C716" s="258"/>
      <c r="D716" s="258"/>
      <c r="E716" s="258"/>
    </row>
    <row r="717" spans="1:5" ht="12.75" x14ac:dyDescent="0.2">
      <c r="A717" s="258"/>
      <c r="B717" s="258"/>
      <c r="C717" s="258"/>
      <c r="D717" s="258"/>
      <c r="E717" s="258"/>
    </row>
    <row r="718" spans="1:5" ht="12.75" x14ac:dyDescent="0.2">
      <c r="A718" s="258"/>
      <c r="B718" s="258"/>
      <c r="C718" s="258"/>
      <c r="D718" s="258"/>
      <c r="E718" s="258"/>
    </row>
    <row r="719" spans="1:5" ht="12.75" x14ac:dyDescent="0.2">
      <c r="A719" s="258"/>
      <c r="B719" s="258"/>
      <c r="C719" s="258"/>
      <c r="D719" s="258"/>
      <c r="E719" s="258"/>
    </row>
    <row r="720" spans="1:5" ht="12.75" x14ac:dyDescent="0.2">
      <c r="A720" s="258"/>
      <c r="B720" s="258"/>
      <c r="C720" s="258"/>
      <c r="D720" s="258"/>
      <c r="E720" s="258"/>
    </row>
    <row r="721" spans="1:5" ht="12.75" x14ac:dyDescent="0.2">
      <c r="A721" s="258"/>
      <c r="B721" s="258"/>
      <c r="C721" s="258"/>
      <c r="D721" s="258"/>
      <c r="E721" s="258"/>
    </row>
    <row r="722" spans="1:5" ht="12.75" x14ac:dyDescent="0.2">
      <c r="A722" s="258"/>
      <c r="B722" s="258"/>
      <c r="C722" s="258"/>
      <c r="D722" s="258"/>
      <c r="E722" s="258"/>
    </row>
    <row r="723" spans="1:5" ht="12.75" x14ac:dyDescent="0.2">
      <c r="A723" s="258"/>
      <c r="B723" s="258"/>
      <c r="C723" s="258"/>
      <c r="D723" s="258"/>
      <c r="E723" s="258"/>
    </row>
    <row r="724" spans="1:5" ht="12.75" x14ac:dyDescent="0.2">
      <c r="A724" s="258"/>
      <c r="B724" s="258"/>
      <c r="C724" s="258"/>
      <c r="D724" s="258"/>
      <c r="E724" s="258"/>
    </row>
    <row r="725" spans="1:5" ht="12.75" x14ac:dyDescent="0.2">
      <c r="A725" s="258"/>
      <c r="B725" s="258"/>
      <c r="C725" s="258"/>
      <c r="D725" s="258"/>
      <c r="E725" s="258"/>
    </row>
    <row r="726" spans="1:5" ht="12.75" x14ac:dyDescent="0.2">
      <c r="A726" s="258"/>
      <c r="B726" s="258"/>
      <c r="C726" s="258"/>
      <c r="D726" s="258"/>
      <c r="E726" s="258"/>
    </row>
    <row r="727" spans="1:5" ht="12.75" x14ac:dyDescent="0.2">
      <c r="A727" s="258"/>
      <c r="B727" s="258"/>
      <c r="C727" s="258"/>
      <c r="D727" s="258"/>
      <c r="E727" s="258"/>
    </row>
    <row r="728" spans="1:5" ht="12.75" x14ac:dyDescent="0.2">
      <c r="A728" s="258"/>
      <c r="B728" s="258"/>
      <c r="C728" s="258"/>
      <c r="D728" s="258"/>
      <c r="E728" s="258"/>
    </row>
    <row r="729" spans="1:5" ht="12.75" x14ac:dyDescent="0.2">
      <c r="A729" s="258"/>
      <c r="B729" s="258"/>
      <c r="C729" s="258"/>
      <c r="D729" s="258"/>
      <c r="E729" s="258"/>
    </row>
    <row r="730" spans="1:5" ht="12.75" x14ac:dyDescent="0.2">
      <c r="A730" s="258"/>
      <c r="B730" s="258"/>
      <c r="C730" s="258"/>
      <c r="D730" s="258"/>
      <c r="E730" s="258"/>
    </row>
    <row r="731" spans="1:5" ht="12.75" x14ac:dyDescent="0.2">
      <c r="A731" s="258"/>
      <c r="B731" s="258"/>
      <c r="C731" s="258"/>
      <c r="D731" s="258"/>
      <c r="E731" s="258"/>
    </row>
    <row r="732" spans="1:5" ht="12.75" x14ac:dyDescent="0.2">
      <c r="A732" s="258"/>
      <c r="B732" s="258"/>
      <c r="C732" s="258"/>
      <c r="D732" s="258"/>
      <c r="E732" s="258"/>
    </row>
    <row r="733" spans="1:5" ht="12.75" x14ac:dyDescent="0.2">
      <c r="A733" s="258"/>
      <c r="B733" s="258"/>
      <c r="C733" s="258"/>
      <c r="D733" s="258"/>
      <c r="E733" s="258"/>
    </row>
    <row r="734" spans="1:5" ht="12.75" x14ac:dyDescent="0.2">
      <c r="A734" s="258"/>
      <c r="B734" s="258"/>
      <c r="C734" s="258"/>
      <c r="D734" s="258"/>
      <c r="E734" s="258"/>
    </row>
    <row r="735" spans="1:5" ht="12.75" x14ac:dyDescent="0.2">
      <c r="A735" s="258"/>
      <c r="B735" s="258"/>
      <c r="C735" s="258"/>
      <c r="D735" s="258"/>
      <c r="E735" s="258"/>
    </row>
    <row r="736" spans="1:5" ht="12.75" x14ac:dyDescent="0.2">
      <c r="A736" s="258"/>
      <c r="B736" s="258"/>
      <c r="C736" s="258"/>
      <c r="D736" s="258"/>
      <c r="E736" s="258"/>
    </row>
    <row r="737" spans="1:5" ht="12.75" x14ac:dyDescent="0.2">
      <c r="A737" s="258"/>
      <c r="B737" s="258"/>
      <c r="C737" s="258"/>
      <c r="D737" s="258"/>
      <c r="E737" s="258"/>
    </row>
    <row r="738" spans="1:5" ht="12.75" x14ac:dyDescent="0.2">
      <c r="A738" s="258"/>
      <c r="B738" s="258"/>
      <c r="C738" s="258"/>
      <c r="D738" s="258"/>
      <c r="E738" s="258"/>
    </row>
    <row r="739" spans="1:5" ht="12.75" x14ac:dyDescent="0.2">
      <c r="A739" s="258"/>
      <c r="B739" s="258"/>
      <c r="C739" s="258"/>
      <c r="D739" s="258"/>
      <c r="E739" s="258"/>
    </row>
    <row r="740" spans="1:5" ht="12.75" x14ac:dyDescent="0.2">
      <c r="A740" s="258"/>
      <c r="B740" s="258"/>
      <c r="C740" s="258"/>
      <c r="D740" s="258"/>
      <c r="E740" s="258"/>
    </row>
    <row r="741" spans="1:5" ht="12.75" x14ac:dyDescent="0.2">
      <c r="A741" s="258"/>
      <c r="B741" s="258"/>
      <c r="C741" s="258"/>
      <c r="D741" s="258"/>
      <c r="E741" s="258"/>
    </row>
    <row r="742" spans="1:5" ht="12.75" x14ac:dyDescent="0.2">
      <c r="A742" s="258"/>
      <c r="B742" s="258"/>
      <c r="C742" s="258"/>
      <c r="D742" s="258"/>
      <c r="E742" s="258"/>
    </row>
    <row r="743" spans="1:5" ht="12.75" x14ac:dyDescent="0.2">
      <c r="A743" s="258"/>
      <c r="B743" s="258"/>
      <c r="C743" s="258"/>
      <c r="D743" s="258"/>
      <c r="E743" s="258"/>
    </row>
    <row r="744" spans="1:5" ht="12.75" x14ac:dyDescent="0.2">
      <c r="A744" s="258"/>
      <c r="B744" s="258"/>
      <c r="C744" s="258"/>
      <c r="D744" s="258"/>
      <c r="E744" s="258"/>
    </row>
    <row r="745" spans="1:5" ht="12.75" x14ac:dyDescent="0.2">
      <c r="A745" s="258"/>
      <c r="B745" s="258"/>
      <c r="C745" s="258"/>
      <c r="D745" s="258"/>
      <c r="E745" s="258"/>
    </row>
    <row r="746" spans="1:5" ht="12.75" x14ac:dyDescent="0.2">
      <c r="A746" s="258"/>
      <c r="B746" s="258"/>
      <c r="C746" s="258"/>
      <c r="D746" s="258"/>
      <c r="E746" s="258"/>
    </row>
    <row r="747" spans="1:5" ht="12.75" x14ac:dyDescent="0.2">
      <c r="A747" s="258"/>
      <c r="B747" s="258"/>
      <c r="C747" s="258"/>
      <c r="D747" s="258"/>
      <c r="E747" s="258"/>
    </row>
    <row r="748" spans="1:5" ht="12.75" x14ac:dyDescent="0.2">
      <c r="A748" s="258"/>
      <c r="B748" s="258"/>
      <c r="C748" s="258"/>
      <c r="D748" s="258"/>
      <c r="E748" s="258"/>
    </row>
    <row r="749" spans="1:5" ht="12.75" x14ac:dyDescent="0.2">
      <c r="A749" s="258"/>
      <c r="B749" s="258"/>
      <c r="C749" s="258"/>
      <c r="D749" s="258"/>
      <c r="E749" s="258"/>
    </row>
    <row r="750" spans="1:5" ht="12.75" x14ac:dyDescent="0.2">
      <c r="A750" s="258"/>
      <c r="B750" s="258"/>
      <c r="C750" s="258"/>
      <c r="D750" s="258"/>
      <c r="E750" s="258"/>
    </row>
    <row r="751" spans="1:5" ht="12.75" x14ac:dyDescent="0.2">
      <c r="A751" s="258"/>
      <c r="B751" s="258"/>
      <c r="C751" s="258"/>
      <c r="D751" s="258"/>
      <c r="E751" s="258"/>
    </row>
    <row r="752" spans="1:5" ht="12.75" x14ac:dyDescent="0.2">
      <c r="A752" s="258"/>
      <c r="B752" s="258"/>
      <c r="C752" s="258"/>
      <c r="D752" s="258"/>
      <c r="E752" s="258"/>
    </row>
    <row r="753" spans="1:5" ht="12.75" x14ac:dyDescent="0.2">
      <c r="A753" s="258"/>
      <c r="B753" s="258"/>
      <c r="C753" s="258"/>
      <c r="D753" s="258"/>
      <c r="E753" s="258"/>
    </row>
    <row r="754" spans="1:5" ht="12.75" x14ac:dyDescent="0.2">
      <c r="A754" s="258"/>
      <c r="B754" s="258"/>
      <c r="C754" s="258"/>
      <c r="D754" s="258"/>
      <c r="E754" s="258"/>
    </row>
    <row r="755" spans="1:5" ht="12.75" x14ac:dyDescent="0.2">
      <c r="A755" s="258"/>
      <c r="B755" s="258"/>
      <c r="C755" s="258"/>
      <c r="D755" s="258"/>
      <c r="E755" s="258"/>
    </row>
    <row r="756" spans="1:5" ht="12.75" x14ac:dyDescent="0.2">
      <c r="A756" s="258"/>
      <c r="B756" s="258"/>
      <c r="C756" s="258"/>
      <c r="D756" s="258"/>
      <c r="E756" s="258"/>
    </row>
    <row r="757" spans="1:5" ht="12.75" x14ac:dyDescent="0.2">
      <c r="A757" s="258"/>
      <c r="B757" s="258"/>
      <c r="C757" s="258"/>
      <c r="D757" s="258"/>
      <c r="E757" s="258"/>
    </row>
    <row r="758" spans="1:5" ht="12.75" x14ac:dyDescent="0.2">
      <c r="A758" s="258"/>
      <c r="B758" s="258"/>
      <c r="C758" s="258"/>
      <c r="D758" s="258"/>
      <c r="E758" s="258"/>
    </row>
    <row r="759" spans="1:5" ht="12.75" x14ac:dyDescent="0.2">
      <c r="A759" s="258"/>
      <c r="B759" s="258"/>
      <c r="C759" s="258"/>
      <c r="D759" s="258"/>
      <c r="E759" s="258"/>
    </row>
    <row r="760" spans="1:5" ht="12.75" x14ac:dyDescent="0.2">
      <c r="A760" s="258"/>
      <c r="B760" s="258"/>
      <c r="C760" s="258"/>
      <c r="D760" s="258"/>
      <c r="E760" s="258"/>
    </row>
    <row r="761" spans="1:5" ht="12.75" x14ac:dyDescent="0.2">
      <c r="A761" s="258"/>
      <c r="B761" s="258"/>
      <c r="C761" s="258"/>
      <c r="D761" s="258"/>
      <c r="E761" s="258"/>
    </row>
    <row r="762" spans="1:5" ht="12.75" x14ac:dyDescent="0.2">
      <c r="A762" s="258"/>
      <c r="B762" s="258"/>
      <c r="C762" s="258"/>
      <c r="D762" s="258"/>
      <c r="E762" s="258"/>
    </row>
    <row r="763" spans="1:5" ht="12.75" x14ac:dyDescent="0.2">
      <c r="A763" s="258"/>
      <c r="B763" s="258"/>
      <c r="C763" s="258"/>
      <c r="D763" s="258"/>
      <c r="E763" s="258"/>
    </row>
    <row r="764" spans="1:5" ht="12.75" x14ac:dyDescent="0.2">
      <c r="A764" s="258"/>
      <c r="B764" s="258"/>
      <c r="C764" s="258"/>
      <c r="D764" s="258"/>
      <c r="E764" s="258"/>
    </row>
    <row r="765" spans="1:5" ht="12.75" x14ac:dyDescent="0.2">
      <c r="A765" s="258"/>
      <c r="B765" s="258"/>
      <c r="C765" s="258"/>
      <c r="D765" s="258"/>
      <c r="E765" s="258"/>
    </row>
    <row r="766" spans="1:5" ht="12.75" x14ac:dyDescent="0.2">
      <c r="A766" s="258"/>
      <c r="B766" s="258"/>
      <c r="C766" s="258"/>
      <c r="D766" s="258"/>
      <c r="E766" s="258"/>
    </row>
    <row r="767" spans="1:5" ht="12.75" x14ac:dyDescent="0.2">
      <c r="A767" s="258"/>
      <c r="B767" s="258"/>
      <c r="C767" s="258"/>
      <c r="D767" s="258"/>
      <c r="E767" s="258"/>
    </row>
    <row r="768" spans="1:5" ht="12.75" x14ac:dyDescent="0.2">
      <c r="A768" s="258"/>
      <c r="B768" s="258"/>
      <c r="C768" s="258"/>
      <c r="D768" s="258"/>
      <c r="E768" s="258"/>
    </row>
    <row r="769" spans="1:5" ht="12.75" x14ac:dyDescent="0.2">
      <c r="A769" s="258"/>
      <c r="B769" s="258"/>
      <c r="C769" s="258"/>
      <c r="D769" s="258"/>
      <c r="E769" s="258"/>
    </row>
    <row r="770" spans="1:5" ht="12.75" x14ac:dyDescent="0.2">
      <c r="A770" s="258"/>
      <c r="B770" s="258"/>
      <c r="C770" s="258"/>
      <c r="D770" s="258"/>
      <c r="E770" s="258"/>
    </row>
    <row r="771" spans="1:5" ht="12.75" x14ac:dyDescent="0.2">
      <c r="A771" s="258"/>
      <c r="B771" s="258"/>
      <c r="C771" s="258"/>
      <c r="D771" s="258"/>
      <c r="E771" s="258"/>
    </row>
    <row r="772" spans="1:5" ht="12.75" x14ac:dyDescent="0.2">
      <c r="A772" s="258"/>
      <c r="B772" s="258"/>
      <c r="C772" s="258"/>
      <c r="D772" s="258"/>
      <c r="E772" s="258"/>
    </row>
    <row r="773" spans="1:5" ht="12.75" x14ac:dyDescent="0.2">
      <c r="A773" s="258"/>
      <c r="B773" s="258"/>
      <c r="C773" s="258"/>
      <c r="D773" s="258"/>
      <c r="E773" s="258"/>
    </row>
    <row r="774" spans="1:5" ht="12.75" x14ac:dyDescent="0.2">
      <c r="A774" s="258"/>
      <c r="B774" s="258"/>
      <c r="C774" s="258"/>
      <c r="D774" s="258"/>
      <c r="E774" s="258"/>
    </row>
    <row r="775" spans="1:5" ht="12.75" x14ac:dyDescent="0.2">
      <c r="A775" s="258"/>
      <c r="B775" s="258"/>
      <c r="C775" s="258"/>
      <c r="D775" s="258"/>
      <c r="E775" s="258"/>
    </row>
    <row r="776" spans="1:5" ht="12.75" x14ac:dyDescent="0.2">
      <c r="A776" s="258"/>
      <c r="B776" s="258"/>
      <c r="C776" s="258"/>
      <c r="D776" s="258"/>
      <c r="E776" s="258"/>
    </row>
    <row r="777" spans="1:5" ht="12.75" x14ac:dyDescent="0.2">
      <c r="A777" s="258"/>
      <c r="B777" s="258"/>
      <c r="C777" s="258"/>
      <c r="D777" s="258"/>
      <c r="E777" s="258"/>
    </row>
    <row r="778" spans="1:5" ht="12.75" x14ac:dyDescent="0.2">
      <c r="A778" s="258"/>
      <c r="B778" s="258"/>
      <c r="C778" s="258"/>
      <c r="D778" s="258"/>
      <c r="E778" s="258"/>
    </row>
    <row r="779" spans="1:5" ht="12.75" x14ac:dyDescent="0.2">
      <c r="A779" s="258"/>
      <c r="B779" s="258"/>
      <c r="C779" s="258"/>
      <c r="D779" s="258"/>
      <c r="E779" s="258"/>
    </row>
    <row r="780" spans="1:5" ht="12.75" x14ac:dyDescent="0.2">
      <c r="A780" s="258"/>
      <c r="B780" s="258"/>
      <c r="C780" s="258"/>
      <c r="D780" s="258"/>
      <c r="E780" s="258"/>
    </row>
    <row r="781" spans="1:5" ht="12.75" x14ac:dyDescent="0.2">
      <c r="A781" s="258"/>
      <c r="B781" s="258"/>
      <c r="C781" s="258"/>
      <c r="D781" s="258"/>
      <c r="E781" s="258"/>
    </row>
    <row r="782" spans="1:5" ht="12.75" x14ac:dyDescent="0.2">
      <c r="A782" s="258"/>
      <c r="B782" s="258"/>
      <c r="C782" s="258"/>
      <c r="D782" s="258"/>
      <c r="E782" s="258"/>
    </row>
    <row r="783" spans="1:5" ht="12.75" x14ac:dyDescent="0.2">
      <c r="A783" s="258"/>
      <c r="B783" s="258"/>
      <c r="C783" s="258"/>
      <c r="D783" s="258"/>
      <c r="E783" s="258"/>
    </row>
    <row r="784" spans="1:5" ht="12.75" x14ac:dyDescent="0.2">
      <c r="A784" s="258"/>
      <c r="B784" s="258"/>
      <c r="C784" s="258"/>
      <c r="D784" s="258"/>
      <c r="E784" s="258"/>
    </row>
    <row r="785" spans="1:5" ht="12.75" x14ac:dyDescent="0.2">
      <c r="A785" s="258"/>
      <c r="B785" s="258"/>
      <c r="C785" s="258"/>
      <c r="D785" s="258"/>
      <c r="E785" s="258"/>
    </row>
    <row r="786" spans="1:5" ht="12.75" x14ac:dyDescent="0.2">
      <c r="A786" s="258"/>
      <c r="B786" s="258"/>
      <c r="C786" s="258"/>
      <c r="D786" s="258"/>
      <c r="E786" s="258"/>
    </row>
    <row r="787" spans="1:5" ht="12.75" x14ac:dyDescent="0.2">
      <c r="A787" s="258"/>
      <c r="B787" s="258"/>
      <c r="C787" s="258"/>
      <c r="D787" s="258"/>
      <c r="E787" s="258"/>
    </row>
    <row r="788" spans="1:5" ht="12.75" x14ac:dyDescent="0.2">
      <c r="A788" s="258"/>
      <c r="B788" s="258"/>
      <c r="C788" s="258"/>
      <c r="D788" s="258"/>
      <c r="E788" s="258"/>
    </row>
    <row r="789" spans="1:5" ht="12.75" x14ac:dyDescent="0.2">
      <c r="A789" s="258"/>
      <c r="B789" s="258"/>
      <c r="C789" s="258"/>
      <c r="D789" s="258"/>
      <c r="E789" s="258"/>
    </row>
    <row r="790" spans="1:5" ht="12.75" x14ac:dyDescent="0.2">
      <c r="A790" s="258"/>
      <c r="B790" s="258"/>
      <c r="C790" s="258"/>
      <c r="D790" s="258"/>
      <c r="E790" s="258"/>
    </row>
    <row r="791" spans="1:5" ht="12.75" x14ac:dyDescent="0.2">
      <c r="A791" s="258"/>
      <c r="B791" s="258"/>
      <c r="C791" s="258"/>
      <c r="D791" s="258"/>
      <c r="E791" s="258"/>
    </row>
    <row r="792" spans="1:5" ht="12.75" x14ac:dyDescent="0.2">
      <c r="A792" s="258"/>
      <c r="B792" s="258"/>
      <c r="C792" s="258"/>
      <c r="D792" s="258"/>
      <c r="E792" s="258"/>
    </row>
    <row r="793" spans="1:5" ht="12.75" x14ac:dyDescent="0.2">
      <c r="A793" s="258"/>
      <c r="B793" s="258"/>
      <c r="C793" s="258"/>
      <c r="D793" s="258"/>
      <c r="E793" s="258"/>
    </row>
    <row r="794" spans="1:5" ht="12.75" x14ac:dyDescent="0.2">
      <c r="A794" s="258"/>
      <c r="B794" s="258"/>
      <c r="C794" s="258"/>
      <c r="D794" s="258"/>
      <c r="E794" s="258"/>
    </row>
    <row r="795" spans="1:5" ht="12.75" x14ac:dyDescent="0.2">
      <c r="A795" s="258"/>
      <c r="B795" s="258"/>
      <c r="C795" s="258"/>
      <c r="D795" s="258"/>
      <c r="E795" s="258"/>
    </row>
    <row r="796" spans="1:5" ht="12.75" x14ac:dyDescent="0.2">
      <c r="A796" s="258"/>
      <c r="B796" s="258"/>
      <c r="C796" s="258"/>
      <c r="D796" s="258"/>
      <c r="E796" s="258"/>
    </row>
    <row r="797" spans="1:5" ht="12.75" x14ac:dyDescent="0.2">
      <c r="A797" s="258"/>
      <c r="B797" s="258"/>
      <c r="C797" s="258"/>
      <c r="D797" s="258"/>
      <c r="E797" s="258"/>
    </row>
    <row r="798" spans="1:5" ht="12.75" x14ac:dyDescent="0.2">
      <c r="A798" s="258"/>
      <c r="B798" s="258"/>
      <c r="C798" s="258"/>
      <c r="D798" s="258"/>
      <c r="E798" s="258"/>
    </row>
    <row r="799" spans="1:5" ht="12.75" x14ac:dyDescent="0.2">
      <c r="A799" s="258"/>
      <c r="B799" s="258"/>
      <c r="C799" s="258"/>
      <c r="D799" s="258"/>
      <c r="E799" s="258"/>
    </row>
    <row r="800" spans="1:5" ht="12.75" x14ac:dyDescent="0.2">
      <c r="A800" s="258"/>
      <c r="B800" s="258"/>
      <c r="C800" s="258"/>
      <c r="D800" s="258"/>
      <c r="E800" s="258"/>
    </row>
    <row r="801" spans="1:5" ht="12.75" x14ac:dyDescent="0.2">
      <c r="A801" s="258"/>
      <c r="B801" s="258"/>
      <c r="C801" s="258"/>
      <c r="D801" s="258"/>
      <c r="E801" s="258"/>
    </row>
    <row r="802" spans="1:5" ht="12.75" x14ac:dyDescent="0.2">
      <c r="A802" s="258"/>
      <c r="B802" s="258"/>
      <c r="C802" s="258"/>
      <c r="D802" s="258"/>
      <c r="E802" s="258"/>
    </row>
    <row r="803" spans="1:5" ht="12.75" x14ac:dyDescent="0.2">
      <c r="A803" s="258"/>
      <c r="B803" s="258"/>
      <c r="C803" s="258"/>
      <c r="D803" s="258"/>
      <c r="E803" s="258"/>
    </row>
    <row r="804" spans="1:5" ht="12.75" x14ac:dyDescent="0.2">
      <c r="A804" s="258"/>
      <c r="B804" s="258"/>
      <c r="C804" s="258"/>
      <c r="D804" s="258"/>
      <c r="E804" s="258"/>
    </row>
    <row r="805" spans="1:5" ht="12.75" x14ac:dyDescent="0.2">
      <c r="A805" s="258"/>
      <c r="B805" s="258"/>
      <c r="C805" s="258"/>
      <c r="D805" s="258"/>
      <c r="E805" s="258"/>
    </row>
    <row r="806" spans="1:5" ht="12.75" x14ac:dyDescent="0.2">
      <c r="A806" s="258"/>
      <c r="B806" s="258"/>
      <c r="C806" s="258"/>
      <c r="D806" s="258"/>
      <c r="E806" s="258"/>
    </row>
    <row r="807" spans="1:5" ht="12.75" x14ac:dyDescent="0.2">
      <c r="A807" s="258"/>
      <c r="B807" s="258"/>
      <c r="C807" s="258"/>
      <c r="D807" s="258"/>
      <c r="E807" s="258"/>
    </row>
    <row r="808" spans="1:5" ht="12.75" x14ac:dyDescent="0.2">
      <c r="A808" s="258"/>
      <c r="B808" s="258"/>
      <c r="C808" s="258"/>
      <c r="D808" s="258"/>
      <c r="E808" s="258"/>
    </row>
    <row r="809" spans="1:5" ht="12.75" x14ac:dyDescent="0.2">
      <c r="A809" s="258"/>
      <c r="B809" s="258"/>
      <c r="C809" s="258"/>
      <c r="D809" s="258"/>
      <c r="E809" s="258"/>
    </row>
    <row r="810" spans="1:5" ht="12.75" x14ac:dyDescent="0.2">
      <c r="A810" s="258"/>
      <c r="B810" s="258"/>
      <c r="C810" s="258"/>
      <c r="D810" s="258"/>
      <c r="E810" s="258"/>
    </row>
    <row r="811" spans="1:5" ht="12.75" x14ac:dyDescent="0.2">
      <c r="A811" s="258"/>
      <c r="B811" s="258"/>
      <c r="C811" s="258"/>
      <c r="D811" s="258"/>
      <c r="E811" s="258"/>
    </row>
    <row r="812" spans="1:5" ht="12.75" x14ac:dyDescent="0.2">
      <c r="A812" s="258"/>
      <c r="B812" s="258"/>
      <c r="C812" s="258"/>
      <c r="D812" s="258"/>
      <c r="E812" s="258"/>
    </row>
    <row r="813" spans="1:5" ht="12.75" x14ac:dyDescent="0.2">
      <c r="A813" s="258"/>
      <c r="B813" s="258"/>
      <c r="C813" s="258"/>
      <c r="D813" s="258"/>
      <c r="E813" s="258"/>
    </row>
    <row r="814" spans="1:5" ht="12.75" x14ac:dyDescent="0.2">
      <c r="A814" s="258"/>
      <c r="B814" s="258"/>
      <c r="C814" s="258"/>
      <c r="D814" s="258"/>
      <c r="E814" s="258"/>
    </row>
    <row r="815" spans="1:5" ht="12.75" x14ac:dyDescent="0.2">
      <c r="A815" s="258"/>
      <c r="B815" s="258"/>
      <c r="C815" s="258"/>
      <c r="D815" s="258"/>
      <c r="E815" s="258"/>
    </row>
    <row r="816" spans="1:5" ht="12.75" x14ac:dyDescent="0.2">
      <c r="A816" s="258"/>
      <c r="B816" s="258"/>
      <c r="C816" s="258"/>
      <c r="D816" s="258"/>
      <c r="E816" s="258"/>
    </row>
    <row r="817" spans="1:5" ht="12.75" x14ac:dyDescent="0.2">
      <c r="A817" s="258"/>
      <c r="B817" s="258"/>
      <c r="C817" s="258"/>
      <c r="D817" s="258"/>
      <c r="E817" s="258"/>
    </row>
    <row r="818" spans="1:5" ht="12.75" x14ac:dyDescent="0.2">
      <c r="A818" s="258"/>
      <c r="B818" s="258"/>
      <c r="C818" s="258"/>
      <c r="D818" s="258"/>
      <c r="E818" s="258"/>
    </row>
    <row r="819" spans="1:5" ht="12.75" x14ac:dyDescent="0.2">
      <c r="A819" s="258"/>
      <c r="B819" s="258"/>
      <c r="C819" s="258"/>
      <c r="D819" s="258"/>
      <c r="E819" s="258"/>
    </row>
    <row r="820" spans="1:5" ht="12.75" x14ac:dyDescent="0.2">
      <c r="A820" s="258"/>
      <c r="B820" s="258"/>
      <c r="C820" s="258"/>
      <c r="D820" s="258"/>
      <c r="E820" s="258"/>
    </row>
    <row r="821" spans="1:5" ht="12.75" x14ac:dyDescent="0.2">
      <c r="A821" s="258"/>
      <c r="B821" s="258"/>
      <c r="C821" s="258"/>
      <c r="D821" s="258"/>
      <c r="E821" s="258"/>
    </row>
    <row r="822" spans="1:5" ht="12.75" x14ac:dyDescent="0.2">
      <c r="A822" s="258"/>
      <c r="B822" s="258"/>
      <c r="C822" s="258"/>
      <c r="D822" s="258"/>
      <c r="E822" s="258"/>
    </row>
    <row r="823" spans="1:5" ht="12.75" x14ac:dyDescent="0.2">
      <c r="A823" s="258"/>
      <c r="B823" s="258"/>
      <c r="C823" s="258"/>
      <c r="D823" s="258"/>
      <c r="E823" s="258"/>
    </row>
    <row r="824" spans="1:5" ht="12.75" x14ac:dyDescent="0.2">
      <c r="A824" s="258"/>
      <c r="B824" s="258"/>
      <c r="C824" s="258"/>
      <c r="D824" s="258"/>
      <c r="E824" s="258"/>
    </row>
    <row r="825" spans="1:5" ht="12.75" x14ac:dyDescent="0.2">
      <c r="A825" s="258"/>
      <c r="B825" s="258"/>
      <c r="C825" s="258"/>
      <c r="D825" s="258"/>
      <c r="E825" s="258"/>
    </row>
    <row r="826" spans="1:5" ht="12.75" x14ac:dyDescent="0.2">
      <c r="A826" s="258"/>
      <c r="B826" s="258"/>
      <c r="C826" s="258"/>
      <c r="D826" s="258"/>
      <c r="E826" s="258"/>
    </row>
    <row r="827" spans="1:5" ht="12.75" x14ac:dyDescent="0.2">
      <c r="A827" s="258"/>
      <c r="B827" s="258"/>
      <c r="C827" s="258"/>
      <c r="D827" s="258"/>
      <c r="E827" s="258"/>
    </row>
    <row r="828" spans="1:5" ht="12.75" x14ac:dyDescent="0.2">
      <c r="A828" s="258"/>
      <c r="B828" s="258"/>
      <c r="C828" s="258"/>
      <c r="D828" s="258"/>
      <c r="E828" s="258"/>
    </row>
    <row r="829" spans="1:5" ht="12.75" x14ac:dyDescent="0.2">
      <c r="A829" s="258"/>
      <c r="B829" s="258"/>
      <c r="C829" s="258"/>
      <c r="D829" s="258"/>
      <c r="E829" s="258"/>
    </row>
    <row r="830" spans="1:5" ht="12.75" x14ac:dyDescent="0.2">
      <c r="A830" s="258"/>
      <c r="B830" s="258"/>
      <c r="C830" s="258"/>
      <c r="D830" s="258"/>
      <c r="E830" s="258"/>
    </row>
    <row r="831" spans="1:5" ht="12.75" x14ac:dyDescent="0.2">
      <c r="A831" s="258"/>
      <c r="B831" s="258"/>
      <c r="C831" s="258"/>
      <c r="D831" s="258"/>
      <c r="E831" s="258"/>
    </row>
    <row r="832" spans="1:5" ht="12.75" x14ac:dyDescent="0.2">
      <c r="A832" s="258"/>
      <c r="B832" s="258"/>
      <c r="C832" s="258"/>
      <c r="D832" s="258"/>
      <c r="E832" s="258"/>
    </row>
    <row r="833" spans="1:5" ht="12.75" x14ac:dyDescent="0.2">
      <c r="A833" s="258"/>
      <c r="B833" s="258"/>
      <c r="C833" s="258"/>
      <c r="D833" s="258"/>
      <c r="E833" s="258"/>
    </row>
    <row r="834" spans="1:5" ht="12.75" x14ac:dyDescent="0.2">
      <c r="A834" s="258"/>
      <c r="B834" s="258"/>
      <c r="C834" s="258"/>
      <c r="D834" s="258"/>
      <c r="E834" s="258"/>
    </row>
    <row r="835" spans="1:5" ht="12.75" x14ac:dyDescent="0.2">
      <c r="A835" s="258"/>
      <c r="B835" s="258"/>
      <c r="C835" s="258"/>
      <c r="D835" s="258"/>
      <c r="E835" s="258"/>
    </row>
    <row r="836" spans="1:5" ht="12.75" x14ac:dyDescent="0.2">
      <c r="A836" s="258"/>
      <c r="B836" s="258"/>
      <c r="C836" s="258"/>
      <c r="D836" s="258"/>
      <c r="E836" s="258"/>
    </row>
    <row r="837" spans="1:5" ht="12.75" x14ac:dyDescent="0.2">
      <c r="A837" s="258"/>
      <c r="B837" s="258"/>
      <c r="C837" s="258"/>
      <c r="D837" s="258"/>
      <c r="E837" s="258"/>
    </row>
    <row r="838" spans="1:5" ht="12.75" x14ac:dyDescent="0.2">
      <c r="A838" s="258"/>
      <c r="B838" s="258"/>
      <c r="C838" s="258"/>
      <c r="D838" s="258"/>
      <c r="E838" s="258"/>
    </row>
    <row r="839" spans="1:5" ht="12.75" x14ac:dyDescent="0.2">
      <c r="A839" s="258"/>
      <c r="B839" s="258"/>
      <c r="C839" s="258"/>
      <c r="D839" s="258"/>
      <c r="E839" s="258"/>
    </row>
    <row r="840" spans="1:5" ht="12.75" x14ac:dyDescent="0.2">
      <c r="A840" s="258"/>
      <c r="B840" s="258"/>
      <c r="C840" s="258"/>
      <c r="D840" s="258"/>
      <c r="E840" s="258"/>
    </row>
    <row r="841" spans="1:5" ht="12.75" x14ac:dyDescent="0.2">
      <c r="A841" s="258"/>
      <c r="B841" s="258"/>
      <c r="C841" s="258"/>
      <c r="D841" s="258"/>
      <c r="E841" s="258"/>
    </row>
    <row r="842" spans="1:5" ht="12.75" x14ac:dyDescent="0.2">
      <c r="A842" s="258"/>
      <c r="B842" s="258"/>
      <c r="C842" s="258"/>
      <c r="D842" s="258"/>
      <c r="E842" s="258"/>
    </row>
    <row r="843" spans="1:5" ht="12.75" x14ac:dyDescent="0.2">
      <c r="A843" s="258"/>
      <c r="B843" s="258"/>
      <c r="C843" s="258"/>
      <c r="D843" s="258"/>
      <c r="E843" s="258"/>
    </row>
    <row r="844" spans="1:5" ht="12.75" x14ac:dyDescent="0.2">
      <c r="A844" s="258"/>
      <c r="B844" s="258"/>
      <c r="C844" s="258"/>
      <c r="D844" s="258"/>
      <c r="E844" s="258"/>
    </row>
    <row r="845" spans="1:5" ht="12.75" x14ac:dyDescent="0.2">
      <c r="A845" s="258"/>
      <c r="B845" s="258"/>
      <c r="C845" s="258"/>
      <c r="D845" s="258"/>
      <c r="E845" s="258"/>
    </row>
    <row r="846" spans="1:5" ht="12.75" x14ac:dyDescent="0.2">
      <c r="A846" s="258"/>
      <c r="B846" s="258"/>
      <c r="C846" s="258"/>
      <c r="D846" s="258"/>
      <c r="E846" s="258"/>
    </row>
    <row r="847" spans="1:5" ht="12.75" x14ac:dyDescent="0.2">
      <c r="A847" s="258"/>
      <c r="B847" s="258"/>
      <c r="C847" s="258"/>
      <c r="D847" s="258"/>
      <c r="E847" s="258"/>
    </row>
    <row r="848" spans="1:5" ht="12.75" x14ac:dyDescent="0.2">
      <c r="A848" s="258"/>
      <c r="B848" s="258"/>
      <c r="C848" s="258"/>
      <c r="D848" s="258"/>
      <c r="E848" s="258"/>
    </row>
    <row r="849" spans="1:5" ht="12.75" x14ac:dyDescent="0.2">
      <c r="A849" s="258"/>
      <c r="B849" s="258"/>
      <c r="C849" s="258"/>
      <c r="D849" s="258"/>
      <c r="E849" s="258"/>
    </row>
    <row r="850" spans="1:5" ht="12.75" x14ac:dyDescent="0.2">
      <c r="A850" s="258"/>
      <c r="B850" s="258"/>
      <c r="C850" s="258"/>
      <c r="D850" s="258"/>
      <c r="E850" s="258"/>
    </row>
    <row r="851" spans="1:5" ht="12.75" x14ac:dyDescent="0.2">
      <c r="A851" s="258"/>
      <c r="B851" s="258"/>
      <c r="C851" s="258"/>
      <c r="D851" s="258"/>
      <c r="E851" s="258"/>
    </row>
    <row r="852" spans="1:5" ht="12.75" x14ac:dyDescent="0.2">
      <c r="A852" s="258"/>
      <c r="B852" s="258"/>
      <c r="C852" s="258"/>
      <c r="D852" s="258"/>
      <c r="E852" s="258"/>
    </row>
    <row r="853" spans="1:5" ht="12.75" x14ac:dyDescent="0.2">
      <c r="A853" s="258"/>
      <c r="B853" s="258"/>
      <c r="C853" s="258"/>
      <c r="D853" s="258"/>
      <c r="E853" s="258"/>
    </row>
    <row r="854" spans="1:5" ht="12.75" x14ac:dyDescent="0.2">
      <c r="A854" s="258"/>
      <c r="B854" s="258"/>
      <c r="C854" s="258"/>
      <c r="D854" s="258"/>
      <c r="E854" s="258"/>
    </row>
    <row r="855" spans="1:5" ht="12.75" x14ac:dyDescent="0.2">
      <c r="A855" s="258"/>
      <c r="B855" s="258"/>
      <c r="C855" s="258"/>
      <c r="D855" s="258"/>
      <c r="E855" s="258"/>
    </row>
    <row r="856" spans="1:5" ht="12.75" x14ac:dyDescent="0.2">
      <c r="A856" s="258"/>
      <c r="B856" s="258"/>
      <c r="C856" s="258"/>
      <c r="D856" s="258"/>
      <c r="E856" s="258"/>
    </row>
    <row r="857" spans="1:5" ht="12.75" x14ac:dyDescent="0.2">
      <c r="A857" s="258"/>
      <c r="B857" s="258"/>
      <c r="C857" s="258"/>
      <c r="D857" s="258"/>
      <c r="E857" s="258"/>
    </row>
    <row r="858" spans="1:5" ht="12.75" x14ac:dyDescent="0.2">
      <c r="A858" s="258"/>
      <c r="B858" s="258"/>
      <c r="C858" s="258"/>
      <c r="D858" s="258"/>
      <c r="E858" s="258"/>
    </row>
    <row r="859" spans="1:5" ht="12.75" x14ac:dyDescent="0.2">
      <c r="A859" s="258"/>
      <c r="B859" s="258"/>
      <c r="C859" s="258"/>
      <c r="D859" s="258"/>
      <c r="E859" s="258"/>
    </row>
    <row r="860" spans="1:5" ht="12.75" x14ac:dyDescent="0.2">
      <c r="A860" s="258"/>
      <c r="B860" s="258"/>
      <c r="C860" s="258"/>
      <c r="D860" s="258"/>
      <c r="E860" s="258"/>
    </row>
    <row r="861" spans="1:5" ht="12.75" x14ac:dyDescent="0.2">
      <c r="A861" s="258"/>
      <c r="B861" s="258"/>
      <c r="C861" s="258"/>
      <c r="D861" s="258"/>
      <c r="E861" s="258"/>
    </row>
    <row r="862" spans="1:5" ht="12.75" x14ac:dyDescent="0.2">
      <c r="A862" s="258"/>
      <c r="B862" s="258"/>
      <c r="C862" s="258"/>
      <c r="D862" s="258"/>
      <c r="E862" s="258"/>
    </row>
    <row r="863" spans="1:5" ht="12.75" x14ac:dyDescent="0.2">
      <c r="A863" s="258"/>
      <c r="B863" s="258"/>
      <c r="C863" s="258"/>
      <c r="D863" s="258"/>
      <c r="E863" s="258"/>
    </row>
    <row r="864" spans="1:5" ht="12.75" x14ac:dyDescent="0.2">
      <c r="A864" s="258"/>
      <c r="B864" s="258"/>
      <c r="C864" s="258"/>
      <c r="D864" s="258"/>
      <c r="E864" s="258"/>
    </row>
    <row r="865" spans="1:5" ht="12.75" x14ac:dyDescent="0.2">
      <c r="A865" s="258"/>
      <c r="B865" s="258"/>
      <c r="C865" s="258"/>
      <c r="D865" s="258"/>
      <c r="E865" s="258"/>
    </row>
    <row r="866" spans="1:5" ht="12.75" x14ac:dyDescent="0.2">
      <c r="A866" s="258"/>
      <c r="B866" s="258"/>
      <c r="C866" s="258"/>
      <c r="D866" s="258"/>
      <c r="E866" s="258"/>
    </row>
    <row r="867" spans="1:5" ht="12.75" x14ac:dyDescent="0.2">
      <c r="A867" s="258"/>
      <c r="B867" s="258"/>
      <c r="C867" s="258"/>
      <c r="D867" s="258"/>
      <c r="E867" s="258"/>
    </row>
    <row r="868" spans="1:5" ht="12.75" x14ac:dyDescent="0.2">
      <c r="A868" s="258"/>
      <c r="B868" s="258"/>
      <c r="C868" s="258"/>
      <c r="D868" s="258"/>
      <c r="E868" s="258"/>
    </row>
    <row r="869" spans="1:5" ht="12.75" x14ac:dyDescent="0.2">
      <c r="A869" s="258"/>
      <c r="B869" s="258"/>
      <c r="C869" s="258"/>
      <c r="D869" s="258"/>
      <c r="E869" s="258"/>
    </row>
    <row r="870" spans="1:5" ht="12.75" x14ac:dyDescent="0.2">
      <c r="A870" s="258"/>
      <c r="B870" s="258"/>
      <c r="C870" s="258"/>
      <c r="D870" s="258"/>
      <c r="E870" s="258"/>
    </row>
    <row r="871" spans="1:5" ht="12.75" x14ac:dyDescent="0.2">
      <c r="A871" s="258"/>
      <c r="B871" s="258"/>
      <c r="C871" s="258"/>
      <c r="D871" s="258"/>
      <c r="E871" s="258"/>
    </row>
    <row r="872" spans="1:5" ht="12.75" x14ac:dyDescent="0.2">
      <c r="A872" s="258"/>
      <c r="B872" s="258"/>
      <c r="C872" s="258"/>
      <c r="D872" s="258"/>
      <c r="E872" s="258"/>
    </row>
    <row r="873" spans="1:5" ht="12.75" x14ac:dyDescent="0.2">
      <c r="A873" s="258"/>
      <c r="B873" s="258"/>
      <c r="C873" s="258"/>
      <c r="D873" s="258"/>
      <c r="E873" s="258"/>
    </row>
    <row r="874" spans="1:5" ht="12.75" x14ac:dyDescent="0.2">
      <c r="A874" s="258"/>
      <c r="B874" s="258"/>
      <c r="C874" s="258"/>
      <c r="D874" s="258"/>
      <c r="E874" s="258"/>
    </row>
    <row r="875" spans="1:5" ht="12.75" x14ac:dyDescent="0.2">
      <c r="A875" s="258"/>
      <c r="B875" s="258"/>
      <c r="C875" s="258"/>
      <c r="D875" s="258"/>
      <c r="E875" s="258"/>
    </row>
    <row r="876" spans="1:5" ht="12.75" x14ac:dyDescent="0.2">
      <c r="A876" s="258"/>
      <c r="B876" s="258"/>
      <c r="C876" s="258"/>
      <c r="D876" s="258"/>
      <c r="E876" s="258"/>
    </row>
    <row r="877" spans="1:5" ht="12.75" x14ac:dyDescent="0.2">
      <c r="A877" s="258"/>
      <c r="B877" s="258"/>
      <c r="C877" s="258"/>
      <c r="D877" s="258"/>
      <c r="E877" s="258"/>
    </row>
    <row r="878" spans="1:5" ht="12.75" x14ac:dyDescent="0.2">
      <c r="A878" s="258"/>
      <c r="B878" s="258"/>
      <c r="C878" s="258"/>
      <c r="D878" s="258"/>
      <c r="E878" s="258"/>
    </row>
    <row r="879" spans="1:5" ht="12.75" x14ac:dyDescent="0.2">
      <c r="A879" s="258"/>
      <c r="B879" s="258"/>
      <c r="C879" s="258"/>
      <c r="D879" s="258"/>
      <c r="E879" s="258"/>
    </row>
    <row r="880" spans="1:5" ht="12.75" x14ac:dyDescent="0.2">
      <c r="A880" s="258"/>
      <c r="B880" s="258"/>
      <c r="C880" s="258"/>
      <c r="D880" s="258"/>
      <c r="E880" s="258"/>
    </row>
    <row r="881" spans="1:5" ht="12.75" x14ac:dyDescent="0.2">
      <c r="A881" s="258"/>
      <c r="B881" s="258"/>
      <c r="C881" s="258"/>
      <c r="D881" s="258"/>
      <c r="E881" s="258"/>
    </row>
    <row r="882" spans="1:5" ht="12.75" x14ac:dyDescent="0.2">
      <c r="A882" s="258"/>
      <c r="B882" s="258"/>
      <c r="C882" s="258"/>
      <c r="D882" s="258"/>
      <c r="E882" s="258"/>
    </row>
    <row r="883" spans="1:5" ht="12.75" x14ac:dyDescent="0.2">
      <c r="A883" s="258"/>
      <c r="B883" s="258"/>
      <c r="C883" s="258"/>
      <c r="D883" s="258"/>
      <c r="E883" s="258"/>
    </row>
    <row r="884" spans="1:5" ht="12.75" x14ac:dyDescent="0.2">
      <c r="A884" s="258"/>
      <c r="B884" s="258"/>
      <c r="C884" s="258"/>
      <c r="D884" s="258"/>
      <c r="E884" s="258"/>
    </row>
    <row r="885" spans="1:5" ht="12.75" x14ac:dyDescent="0.2">
      <c r="A885" s="258"/>
      <c r="B885" s="258"/>
      <c r="C885" s="258"/>
      <c r="D885" s="258"/>
      <c r="E885" s="258"/>
    </row>
    <row r="886" spans="1:5" ht="12.75" x14ac:dyDescent="0.2">
      <c r="A886" s="258"/>
      <c r="B886" s="258"/>
      <c r="C886" s="258"/>
      <c r="D886" s="258"/>
      <c r="E886" s="258"/>
    </row>
    <row r="887" spans="1:5" ht="12.75" x14ac:dyDescent="0.2">
      <c r="A887" s="258"/>
      <c r="B887" s="258"/>
      <c r="C887" s="258"/>
      <c r="D887" s="258"/>
      <c r="E887" s="258"/>
    </row>
    <row r="888" spans="1:5" ht="12.75" x14ac:dyDescent="0.2">
      <c r="A888" s="258"/>
      <c r="B888" s="258"/>
      <c r="C888" s="258"/>
      <c r="D888" s="258"/>
      <c r="E888" s="258"/>
    </row>
    <row r="889" spans="1:5" ht="12.75" x14ac:dyDescent="0.2">
      <c r="A889" s="258"/>
      <c r="B889" s="258"/>
      <c r="C889" s="258"/>
      <c r="D889" s="258"/>
      <c r="E889" s="258"/>
    </row>
    <row r="890" spans="1:5" ht="12.75" x14ac:dyDescent="0.2">
      <c r="A890" s="258"/>
      <c r="B890" s="258"/>
      <c r="C890" s="258"/>
      <c r="D890" s="258"/>
      <c r="E890" s="258"/>
    </row>
    <row r="891" spans="1:5" ht="12.75" x14ac:dyDescent="0.2">
      <c r="A891" s="258"/>
      <c r="B891" s="258"/>
      <c r="C891" s="258"/>
      <c r="D891" s="258"/>
      <c r="E891" s="258"/>
    </row>
    <row r="892" spans="1:5" ht="12.75" x14ac:dyDescent="0.2">
      <c r="A892" s="258"/>
      <c r="B892" s="258"/>
      <c r="C892" s="258"/>
      <c r="D892" s="258"/>
      <c r="E892" s="258"/>
    </row>
    <row r="893" spans="1:5" ht="12.75" x14ac:dyDescent="0.2">
      <c r="A893" s="258"/>
      <c r="B893" s="258"/>
      <c r="C893" s="258"/>
      <c r="D893" s="258"/>
      <c r="E893" s="258"/>
    </row>
    <row r="894" spans="1:5" ht="12.75" x14ac:dyDescent="0.2">
      <c r="A894" s="258"/>
      <c r="B894" s="258"/>
      <c r="C894" s="258"/>
      <c r="D894" s="258"/>
      <c r="E894" s="258"/>
    </row>
    <row r="895" spans="1:5" ht="12.75" x14ac:dyDescent="0.2">
      <c r="A895" s="258"/>
      <c r="B895" s="258"/>
      <c r="C895" s="258"/>
      <c r="D895" s="258"/>
      <c r="E895" s="258"/>
    </row>
    <row r="896" spans="1:5" ht="12.75" x14ac:dyDescent="0.2">
      <c r="A896" s="258"/>
      <c r="B896" s="258"/>
      <c r="C896" s="258"/>
      <c r="D896" s="258"/>
      <c r="E896" s="258"/>
    </row>
    <row r="897" spans="1:5" ht="12.75" x14ac:dyDescent="0.2">
      <c r="A897" s="258"/>
      <c r="B897" s="258"/>
      <c r="C897" s="258"/>
      <c r="D897" s="258"/>
      <c r="E897" s="258"/>
    </row>
    <row r="898" spans="1:5" ht="12.75" x14ac:dyDescent="0.2">
      <c r="A898" s="258"/>
      <c r="B898" s="258"/>
      <c r="C898" s="258"/>
      <c r="D898" s="258"/>
      <c r="E898" s="258"/>
    </row>
    <row r="899" spans="1:5" ht="12.75" x14ac:dyDescent="0.2">
      <c r="A899" s="258"/>
      <c r="B899" s="258"/>
      <c r="C899" s="258"/>
      <c r="D899" s="258"/>
      <c r="E899" s="258"/>
    </row>
    <row r="900" spans="1:5" ht="12.75" x14ac:dyDescent="0.2">
      <c r="A900" s="258"/>
      <c r="B900" s="258"/>
      <c r="C900" s="258"/>
      <c r="D900" s="258"/>
      <c r="E900" s="258"/>
    </row>
    <row r="901" spans="1:5" ht="12.75" x14ac:dyDescent="0.2">
      <c r="A901" s="258"/>
      <c r="B901" s="258"/>
      <c r="C901" s="258"/>
      <c r="D901" s="258"/>
      <c r="E901" s="258"/>
    </row>
    <row r="902" spans="1:5" ht="12.75" x14ac:dyDescent="0.2">
      <c r="A902" s="258"/>
      <c r="B902" s="258"/>
      <c r="C902" s="258"/>
      <c r="D902" s="258"/>
      <c r="E902" s="258"/>
    </row>
    <row r="903" spans="1:5" ht="12.75" x14ac:dyDescent="0.2">
      <c r="A903" s="258"/>
      <c r="B903" s="258"/>
      <c r="C903" s="258"/>
      <c r="D903" s="258"/>
      <c r="E903" s="258"/>
    </row>
    <row r="904" spans="1:5" ht="12.75" x14ac:dyDescent="0.2">
      <c r="A904" s="258"/>
      <c r="B904" s="258"/>
      <c r="C904" s="258"/>
      <c r="D904" s="258"/>
      <c r="E904" s="258"/>
    </row>
    <row r="905" spans="1:5" ht="12.75" x14ac:dyDescent="0.2">
      <c r="A905" s="258"/>
      <c r="B905" s="258"/>
      <c r="C905" s="258"/>
      <c r="D905" s="258"/>
      <c r="E905" s="258"/>
    </row>
    <row r="906" spans="1:5" ht="12.75" x14ac:dyDescent="0.2">
      <c r="A906" s="258"/>
      <c r="B906" s="258"/>
      <c r="C906" s="258"/>
      <c r="D906" s="258"/>
      <c r="E906" s="258"/>
    </row>
    <row r="907" spans="1:5" ht="12.75" x14ac:dyDescent="0.2">
      <c r="A907" s="258"/>
      <c r="B907" s="258"/>
      <c r="C907" s="258"/>
      <c r="D907" s="258"/>
      <c r="E907" s="258"/>
    </row>
    <row r="908" spans="1:5" ht="12.75" x14ac:dyDescent="0.2">
      <c r="A908" s="258"/>
      <c r="B908" s="258"/>
      <c r="C908" s="258"/>
      <c r="D908" s="258"/>
      <c r="E908" s="258"/>
    </row>
    <row r="909" spans="1:5" ht="12.75" x14ac:dyDescent="0.2">
      <c r="A909" s="258"/>
      <c r="B909" s="258"/>
      <c r="C909" s="258"/>
      <c r="D909" s="258"/>
      <c r="E909" s="258"/>
    </row>
    <row r="910" spans="1:5" ht="12.75" x14ac:dyDescent="0.2">
      <c r="A910" s="258"/>
      <c r="B910" s="258"/>
      <c r="C910" s="258"/>
      <c r="D910" s="258"/>
      <c r="E910" s="258"/>
    </row>
    <row r="911" spans="1:5" ht="12.75" x14ac:dyDescent="0.2">
      <c r="A911" s="258"/>
      <c r="B911" s="258"/>
      <c r="C911" s="258"/>
      <c r="D911" s="258"/>
      <c r="E911" s="258"/>
    </row>
    <row r="912" spans="1:5" ht="12.75" x14ac:dyDescent="0.2">
      <c r="A912" s="258"/>
      <c r="B912" s="258"/>
      <c r="C912" s="258"/>
      <c r="D912" s="258"/>
      <c r="E912" s="258"/>
    </row>
    <row r="913" spans="1:5" ht="12.75" x14ac:dyDescent="0.2">
      <c r="A913" s="258"/>
      <c r="B913" s="258"/>
      <c r="C913" s="258"/>
      <c r="D913" s="258"/>
      <c r="E913" s="258"/>
    </row>
    <row r="914" spans="1:5" ht="12.75" x14ac:dyDescent="0.2">
      <c r="A914" s="258"/>
      <c r="B914" s="258"/>
      <c r="C914" s="258"/>
      <c r="D914" s="258"/>
      <c r="E914" s="258"/>
    </row>
    <row r="915" spans="1:5" ht="12.75" x14ac:dyDescent="0.2">
      <c r="A915" s="258"/>
      <c r="B915" s="258"/>
      <c r="C915" s="258"/>
      <c r="D915" s="258"/>
      <c r="E915" s="258"/>
    </row>
    <row r="916" spans="1:5" ht="12.75" x14ac:dyDescent="0.2">
      <c r="A916" s="258"/>
      <c r="B916" s="258"/>
      <c r="C916" s="258"/>
      <c r="D916" s="258"/>
      <c r="E916" s="258"/>
    </row>
    <row r="917" spans="1:5" ht="12.75" x14ac:dyDescent="0.2">
      <c r="A917" s="258"/>
      <c r="B917" s="258"/>
      <c r="C917" s="258"/>
      <c r="D917" s="258"/>
      <c r="E917" s="258"/>
    </row>
    <row r="918" spans="1:5" ht="12.75" x14ac:dyDescent="0.2">
      <c r="A918" s="258"/>
      <c r="B918" s="258"/>
      <c r="C918" s="258"/>
      <c r="D918" s="258"/>
      <c r="E918" s="258"/>
    </row>
    <row r="919" spans="1:5" ht="12.75" x14ac:dyDescent="0.2">
      <c r="A919" s="258"/>
      <c r="B919" s="258"/>
      <c r="C919" s="258"/>
      <c r="D919" s="258"/>
      <c r="E919" s="258"/>
    </row>
    <row r="920" spans="1:5" ht="12.75" x14ac:dyDescent="0.2">
      <c r="A920" s="258"/>
      <c r="B920" s="258"/>
      <c r="C920" s="258"/>
      <c r="D920" s="258"/>
      <c r="E920" s="258"/>
    </row>
    <row r="921" spans="1:5" ht="12.75" x14ac:dyDescent="0.2">
      <c r="A921" s="258"/>
      <c r="B921" s="258"/>
      <c r="C921" s="258"/>
      <c r="D921" s="258"/>
      <c r="E921" s="258"/>
    </row>
    <row r="922" spans="1:5" ht="12.75" x14ac:dyDescent="0.2">
      <c r="A922" s="258"/>
      <c r="B922" s="258"/>
      <c r="C922" s="258"/>
      <c r="D922" s="258"/>
      <c r="E922" s="258"/>
    </row>
    <row r="923" spans="1:5" ht="12.75" x14ac:dyDescent="0.2">
      <c r="A923" s="258"/>
      <c r="B923" s="258"/>
      <c r="C923" s="258"/>
      <c r="D923" s="258"/>
      <c r="E923" s="258"/>
    </row>
    <row r="924" spans="1:5" ht="12.75" x14ac:dyDescent="0.2">
      <c r="A924" s="258"/>
      <c r="B924" s="258"/>
      <c r="C924" s="258"/>
      <c r="D924" s="258"/>
      <c r="E924" s="258"/>
    </row>
    <row r="925" spans="1:5" ht="12.75" x14ac:dyDescent="0.2">
      <c r="A925" s="258"/>
      <c r="B925" s="258"/>
      <c r="C925" s="258"/>
      <c r="D925" s="258"/>
      <c r="E925" s="258"/>
    </row>
    <row r="926" spans="1:5" ht="12.75" x14ac:dyDescent="0.2">
      <c r="A926" s="258"/>
      <c r="B926" s="258"/>
      <c r="C926" s="258"/>
      <c r="D926" s="258"/>
      <c r="E926" s="258"/>
    </row>
    <row r="927" spans="1:5" ht="12.75" x14ac:dyDescent="0.2">
      <c r="A927" s="258"/>
      <c r="B927" s="258"/>
      <c r="C927" s="258"/>
      <c r="D927" s="258"/>
      <c r="E927" s="258"/>
    </row>
    <row r="928" spans="1:5" ht="12.75" x14ac:dyDescent="0.2">
      <c r="A928" s="258"/>
      <c r="B928" s="258"/>
      <c r="C928" s="258"/>
      <c r="D928" s="258"/>
      <c r="E928" s="258"/>
    </row>
    <row r="929" spans="1:5" ht="12.75" x14ac:dyDescent="0.2">
      <c r="A929" s="258"/>
      <c r="B929" s="258"/>
      <c r="C929" s="258"/>
      <c r="D929" s="258"/>
      <c r="E929" s="258"/>
    </row>
    <row r="930" spans="1:5" ht="12.75" x14ac:dyDescent="0.2">
      <c r="A930" s="258"/>
      <c r="B930" s="258"/>
      <c r="C930" s="258"/>
      <c r="D930" s="258"/>
      <c r="E930" s="258"/>
    </row>
    <row r="931" spans="1:5" ht="12.75" x14ac:dyDescent="0.2">
      <c r="A931" s="258"/>
      <c r="B931" s="258"/>
      <c r="C931" s="258"/>
      <c r="D931" s="258"/>
      <c r="E931" s="258"/>
    </row>
    <row r="932" spans="1:5" ht="12.75" x14ac:dyDescent="0.2">
      <c r="A932" s="258"/>
      <c r="B932" s="258"/>
      <c r="C932" s="258"/>
      <c r="D932" s="258"/>
      <c r="E932" s="258"/>
    </row>
    <row r="933" spans="1:5" ht="12.75" x14ac:dyDescent="0.2">
      <c r="A933" s="258"/>
      <c r="B933" s="258"/>
      <c r="C933" s="258"/>
      <c r="D933" s="258"/>
      <c r="E933" s="258"/>
    </row>
    <row r="934" spans="1:5" ht="12.75" x14ac:dyDescent="0.2">
      <c r="A934" s="258"/>
      <c r="B934" s="258"/>
      <c r="C934" s="258"/>
      <c r="D934" s="258"/>
      <c r="E934" s="258"/>
    </row>
    <row r="935" spans="1:5" ht="12.75" x14ac:dyDescent="0.2">
      <c r="A935" s="258"/>
      <c r="B935" s="258"/>
      <c r="C935" s="258"/>
      <c r="D935" s="258"/>
      <c r="E935" s="258"/>
    </row>
    <row r="936" spans="1:5" ht="12.75" x14ac:dyDescent="0.2">
      <c r="A936" s="258"/>
      <c r="B936" s="258"/>
      <c r="C936" s="258"/>
      <c r="D936" s="258"/>
      <c r="E936" s="258"/>
    </row>
    <row r="937" spans="1:5" ht="12.75" x14ac:dyDescent="0.2">
      <c r="A937" s="258"/>
      <c r="B937" s="258"/>
      <c r="C937" s="258"/>
      <c r="D937" s="258"/>
      <c r="E937" s="258"/>
    </row>
    <row r="938" spans="1:5" ht="12.75" x14ac:dyDescent="0.2">
      <c r="A938" s="258"/>
      <c r="B938" s="258"/>
      <c r="C938" s="258"/>
      <c r="D938" s="258"/>
      <c r="E938" s="258"/>
    </row>
    <row r="939" spans="1:5" ht="12.75" x14ac:dyDescent="0.2">
      <c r="A939" s="258"/>
      <c r="B939" s="258"/>
      <c r="C939" s="258"/>
      <c r="D939" s="258"/>
      <c r="E939" s="258"/>
    </row>
    <row r="940" spans="1:5" ht="12.75" x14ac:dyDescent="0.2">
      <c r="A940" s="258"/>
      <c r="B940" s="258"/>
      <c r="C940" s="258"/>
      <c r="D940" s="258"/>
      <c r="E940" s="258"/>
    </row>
    <row r="941" spans="1:5" ht="12.75" x14ac:dyDescent="0.2">
      <c r="A941" s="258"/>
      <c r="B941" s="258"/>
      <c r="C941" s="258"/>
      <c r="D941" s="258"/>
      <c r="E941" s="258"/>
    </row>
    <row r="942" spans="1:5" ht="12.75" x14ac:dyDescent="0.2">
      <c r="A942" s="258"/>
      <c r="B942" s="258"/>
      <c r="C942" s="258"/>
      <c r="D942" s="258"/>
      <c r="E942" s="258"/>
    </row>
    <row r="943" spans="1:5" ht="12.75" x14ac:dyDescent="0.2">
      <c r="A943" s="258"/>
      <c r="B943" s="258"/>
      <c r="C943" s="258"/>
      <c r="D943" s="258"/>
      <c r="E943" s="258"/>
    </row>
    <row r="944" spans="1:5" ht="12.75" x14ac:dyDescent="0.2">
      <c r="A944" s="258"/>
      <c r="B944" s="258"/>
      <c r="C944" s="258"/>
      <c r="D944" s="258"/>
      <c r="E944" s="258"/>
    </row>
    <row r="945" spans="1:5" ht="12.75" x14ac:dyDescent="0.2">
      <c r="A945" s="258"/>
      <c r="B945" s="258"/>
      <c r="C945" s="258"/>
      <c r="D945" s="258"/>
      <c r="E945" s="258"/>
    </row>
    <row r="946" spans="1:5" ht="12.75" x14ac:dyDescent="0.2">
      <c r="A946" s="258"/>
      <c r="B946" s="258"/>
      <c r="C946" s="258"/>
      <c r="D946" s="258"/>
      <c r="E946" s="258"/>
    </row>
    <row r="947" spans="1:5" ht="12.75" x14ac:dyDescent="0.2">
      <c r="A947" s="258"/>
      <c r="B947" s="258"/>
      <c r="C947" s="258"/>
      <c r="D947" s="258"/>
      <c r="E947" s="258"/>
    </row>
    <row r="948" spans="1:5" ht="12.75" x14ac:dyDescent="0.2">
      <c r="A948" s="258"/>
      <c r="B948" s="258"/>
      <c r="C948" s="258"/>
      <c r="D948" s="258"/>
      <c r="E948" s="258"/>
    </row>
    <row r="949" spans="1:5" ht="12.75" x14ac:dyDescent="0.2">
      <c r="A949" s="258"/>
      <c r="B949" s="258"/>
      <c r="C949" s="258"/>
      <c r="D949" s="258"/>
      <c r="E949" s="258"/>
    </row>
    <row r="950" spans="1:5" ht="12.75" x14ac:dyDescent="0.2">
      <c r="A950" s="258"/>
      <c r="B950" s="258"/>
      <c r="C950" s="258"/>
      <c r="D950" s="258"/>
      <c r="E950" s="258"/>
    </row>
    <row r="951" spans="1:5" ht="12.75" x14ac:dyDescent="0.2">
      <c r="A951" s="258"/>
      <c r="B951" s="258"/>
      <c r="C951" s="258"/>
      <c r="D951" s="258"/>
      <c r="E951" s="258"/>
    </row>
    <row r="952" spans="1:5" ht="12.75" x14ac:dyDescent="0.2">
      <c r="A952" s="258"/>
      <c r="B952" s="258"/>
      <c r="C952" s="258"/>
      <c r="D952" s="258"/>
      <c r="E952" s="258"/>
    </row>
    <row r="953" spans="1:5" ht="12.75" x14ac:dyDescent="0.2">
      <c r="A953" s="258"/>
      <c r="B953" s="258"/>
      <c r="C953" s="258"/>
      <c r="D953" s="258"/>
      <c r="E953" s="258"/>
    </row>
    <row r="954" spans="1:5" ht="12.75" x14ac:dyDescent="0.2">
      <c r="A954" s="258"/>
      <c r="B954" s="258"/>
      <c r="C954" s="258"/>
      <c r="D954" s="258"/>
      <c r="E954" s="258"/>
    </row>
    <row r="955" spans="1:5" ht="12.75" x14ac:dyDescent="0.2">
      <c r="A955" s="258"/>
      <c r="B955" s="258"/>
      <c r="C955" s="258"/>
      <c r="D955" s="258"/>
      <c r="E955" s="258"/>
    </row>
    <row r="956" spans="1:5" ht="12.75" x14ac:dyDescent="0.2">
      <c r="A956" s="258"/>
      <c r="B956" s="258"/>
      <c r="C956" s="258"/>
      <c r="D956" s="258"/>
      <c r="E956" s="258"/>
    </row>
    <row r="957" spans="1:5" ht="12.75" x14ac:dyDescent="0.2">
      <c r="A957" s="258"/>
      <c r="B957" s="258"/>
      <c r="C957" s="258"/>
      <c r="D957" s="258"/>
      <c r="E957" s="258"/>
    </row>
    <row r="958" spans="1:5" ht="12.75" x14ac:dyDescent="0.2">
      <c r="A958" s="258"/>
      <c r="B958" s="258"/>
      <c r="C958" s="258"/>
      <c r="D958" s="258"/>
      <c r="E958" s="258"/>
    </row>
    <row r="959" spans="1:5" ht="12.75" x14ac:dyDescent="0.2">
      <c r="A959" s="258"/>
      <c r="B959" s="258"/>
      <c r="C959" s="258"/>
      <c r="D959" s="258"/>
      <c r="E959" s="258"/>
    </row>
    <row r="960" spans="1:5" ht="12.75" x14ac:dyDescent="0.2">
      <c r="A960" s="258"/>
      <c r="B960" s="258"/>
      <c r="C960" s="258"/>
      <c r="D960" s="258"/>
      <c r="E960" s="258"/>
    </row>
    <row r="961" spans="1:5" ht="12.75" x14ac:dyDescent="0.2">
      <c r="A961" s="258"/>
      <c r="B961" s="258"/>
      <c r="C961" s="258"/>
      <c r="D961" s="258"/>
      <c r="E961" s="258"/>
    </row>
    <row r="962" spans="1:5" ht="12.75" x14ac:dyDescent="0.2">
      <c r="A962" s="258"/>
      <c r="B962" s="258"/>
      <c r="C962" s="258"/>
      <c r="D962" s="258"/>
      <c r="E962" s="258"/>
    </row>
    <row r="963" spans="1:5" ht="12.75" x14ac:dyDescent="0.2">
      <c r="A963" s="258"/>
      <c r="B963" s="258"/>
      <c r="C963" s="258"/>
      <c r="D963" s="258"/>
      <c r="E963" s="258"/>
    </row>
    <row r="964" spans="1:5" ht="12.75" x14ac:dyDescent="0.2">
      <c r="A964" s="258"/>
      <c r="B964" s="258"/>
      <c r="C964" s="258"/>
      <c r="D964" s="258"/>
      <c r="E964" s="258"/>
    </row>
    <row r="965" spans="1:5" ht="12.75" x14ac:dyDescent="0.2">
      <c r="A965" s="258"/>
      <c r="B965" s="258"/>
      <c r="C965" s="258"/>
      <c r="D965" s="258"/>
      <c r="E965" s="258"/>
    </row>
    <row r="966" spans="1:5" ht="12.75" x14ac:dyDescent="0.2">
      <c r="A966" s="258"/>
      <c r="B966" s="258"/>
      <c r="C966" s="258"/>
      <c r="D966" s="258"/>
      <c r="E966" s="258"/>
    </row>
    <row r="967" spans="1:5" ht="12.75" x14ac:dyDescent="0.2">
      <c r="A967" s="258"/>
      <c r="B967" s="258"/>
      <c r="C967" s="258"/>
      <c r="D967" s="258"/>
      <c r="E967" s="258"/>
    </row>
    <row r="968" spans="1:5" ht="12.75" x14ac:dyDescent="0.2">
      <c r="A968" s="258"/>
      <c r="B968" s="258"/>
      <c r="C968" s="258"/>
      <c r="D968" s="258"/>
      <c r="E968" s="258"/>
    </row>
    <row r="969" spans="1:5" ht="12.75" x14ac:dyDescent="0.2">
      <c r="A969" s="258"/>
      <c r="B969" s="258"/>
      <c r="C969" s="258"/>
      <c r="D969" s="258"/>
      <c r="E969" s="258"/>
    </row>
    <row r="970" spans="1:5" ht="12.75" x14ac:dyDescent="0.2">
      <c r="A970" s="258"/>
      <c r="B970" s="258"/>
      <c r="C970" s="258"/>
      <c r="D970" s="258"/>
      <c r="E970" s="258"/>
    </row>
    <row r="971" spans="1:5" ht="12.75" x14ac:dyDescent="0.2">
      <c r="A971" s="258"/>
      <c r="B971" s="258"/>
      <c r="C971" s="258"/>
      <c r="D971" s="258"/>
      <c r="E971" s="258"/>
    </row>
    <row r="972" spans="1:5" ht="12.75" x14ac:dyDescent="0.2">
      <c r="A972" s="258"/>
      <c r="B972" s="258"/>
      <c r="C972" s="258"/>
      <c r="D972" s="258"/>
      <c r="E972" s="258"/>
    </row>
    <row r="973" spans="1:5" ht="12.75" x14ac:dyDescent="0.2">
      <c r="A973" s="258"/>
      <c r="B973" s="258"/>
      <c r="C973" s="258"/>
      <c r="D973" s="258"/>
      <c r="E973" s="258"/>
    </row>
    <row r="974" spans="1:5" ht="12.75" x14ac:dyDescent="0.2">
      <c r="A974" s="258"/>
      <c r="B974" s="258"/>
      <c r="C974" s="258"/>
      <c r="D974" s="258"/>
      <c r="E974" s="258"/>
    </row>
    <row r="975" spans="1:5" ht="12.75" x14ac:dyDescent="0.2">
      <c r="A975" s="258"/>
      <c r="B975" s="258"/>
      <c r="C975" s="258"/>
      <c r="D975" s="258"/>
      <c r="E975" s="258"/>
    </row>
    <row r="976" spans="1:5" ht="12.75" x14ac:dyDescent="0.2">
      <c r="A976" s="258"/>
      <c r="B976" s="258"/>
      <c r="C976" s="258"/>
      <c r="D976" s="258"/>
      <c r="E976" s="258"/>
    </row>
    <row r="977" spans="1:5" ht="12.75" x14ac:dyDescent="0.2">
      <c r="A977" s="258"/>
      <c r="B977" s="258"/>
      <c r="C977" s="258"/>
      <c r="D977" s="258"/>
      <c r="E977" s="258"/>
    </row>
    <row r="978" spans="1:5" ht="12.75" x14ac:dyDescent="0.2">
      <c r="A978" s="258"/>
      <c r="B978" s="258"/>
      <c r="C978" s="258"/>
      <c r="D978" s="258"/>
      <c r="E978" s="258"/>
    </row>
    <row r="979" spans="1:5" ht="12.75" x14ac:dyDescent="0.2">
      <c r="A979" s="258"/>
      <c r="B979" s="258"/>
      <c r="C979" s="258"/>
      <c r="D979" s="258"/>
      <c r="E979" s="258"/>
    </row>
    <row r="980" spans="1:5" ht="12.75" x14ac:dyDescent="0.2">
      <c r="A980" s="258"/>
      <c r="B980" s="258"/>
      <c r="C980" s="258"/>
      <c r="D980" s="258"/>
      <c r="E980" s="258"/>
    </row>
    <row r="981" spans="1:5" ht="12.75" x14ac:dyDescent="0.2">
      <c r="A981" s="258"/>
      <c r="B981" s="258"/>
      <c r="C981" s="258"/>
      <c r="D981" s="258"/>
      <c r="E981" s="258"/>
    </row>
    <row r="982" spans="1:5" ht="12.75" x14ac:dyDescent="0.2">
      <c r="A982" s="258"/>
      <c r="B982" s="258"/>
      <c r="C982" s="258"/>
      <c r="D982" s="258"/>
      <c r="E982" s="258"/>
    </row>
    <row r="983" spans="1:5" ht="12.75" x14ac:dyDescent="0.2">
      <c r="A983" s="258"/>
      <c r="B983" s="258"/>
      <c r="C983" s="258"/>
      <c r="D983" s="258"/>
      <c r="E983" s="258"/>
    </row>
    <row r="984" spans="1:5" ht="12.75" x14ac:dyDescent="0.2">
      <c r="A984" s="258"/>
      <c r="B984" s="258"/>
      <c r="C984" s="258"/>
      <c r="D984" s="258"/>
      <c r="E984" s="258"/>
    </row>
    <row r="985" spans="1:5" ht="12.75" x14ac:dyDescent="0.2">
      <c r="A985" s="258"/>
      <c r="B985" s="258"/>
      <c r="C985" s="258"/>
      <c r="D985" s="258"/>
      <c r="E985" s="258"/>
    </row>
    <row r="986" spans="1:5" ht="12.75" x14ac:dyDescent="0.2">
      <c r="A986" s="258"/>
      <c r="B986" s="258"/>
      <c r="C986" s="258"/>
      <c r="D986" s="258"/>
      <c r="E986" s="258"/>
    </row>
    <row r="987" spans="1:5" ht="12.75" x14ac:dyDescent="0.2">
      <c r="A987" s="258"/>
      <c r="B987" s="258"/>
      <c r="C987" s="258"/>
      <c r="D987" s="258"/>
      <c r="E987" s="258"/>
    </row>
    <row r="988" spans="1:5" ht="12.75" x14ac:dyDescent="0.2">
      <c r="A988" s="258"/>
      <c r="B988" s="258"/>
      <c r="C988" s="258"/>
      <c r="D988" s="258"/>
      <c r="E988" s="258"/>
    </row>
    <row r="989" spans="1:5" ht="12.75" x14ac:dyDescent="0.2">
      <c r="A989" s="258"/>
      <c r="B989" s="258"/>
      <c r="C989" s="258"/>
      <c r="D989" s="258"/>
      <c r="E989" s="258"/>
    </row>
    <row r="990" spans="1:5" ht="12.75" x14ac:dyDescent="0.2">
      <c r="A990" s="258"/>
      <c r="B990" s="258"/>
      <c r="C990" s="258"/>
      <c r="D990" s="258"/>
      <c r="E990" s="258"/>
    </row>
    <row r="991" spans="1:5" ht="12.75" x14ac:dyDescent="0.2">
      <c r="A991" s="258"/>
      <c r="B991" s="258"/>
      <c r="C991" s="258"/>
      <c r="D991" s="258"/>
      <c r="E991" s="258"/>
    </row>
    <row r="992" spans="1:5" ht="12.75" x14ac:dyDescent="0.2">
      <c r="A992" s="258"/>
      <c r="B992" s="258"/>
      <c r="C992" s="258"/>
      <c r="D992" s="258"/>
      <c r="E992" s="258"/>
    </row>
    <row r="993" spans="1:5" ht="12.75" x14ac:dyDescent="0.2">
      <c r="A993" s="258"/>
      <c r="B993" s="258"/>
      <c r="C993" s="258"/>
      <c r="D993" s="258"/>
      <c r="E993" s="258"/>
    </row>
    <row r="994" spans="1:5" ht="12.75" x14ac:dyDescent="0.2">
      <c r="A994" s="258"/>
      <c r="B994" s="258"/>
      <c r="C994" s="258"/>
      <c r="D994" s="258"/>
      <c r="E994" s="258"/>
    </row>
    <row r="995" spans="1:5" ht="12.75" x14ac:dyDescent="0.2">
      <c r="A995" s="258"/>
      <c r="B995" s="258"/>
      <c r="C995" s="258"/>
      <c r="D995" s="258"/>
      <c r="E995" s="258"/>
    </row>
    <row r="996" spans="1:5" ht="12.75" x14ac:dyDescent="0.2">
      <c r="A996" s="258"/>
      <c r="B996" s="258"/>
      <c r="C996" s="258"/>
      <c r="D996" s="258"/>
      <c r="E996" s="258"/>
    </row>
    <row r="997" spans="1:5" ht="12.75" x14ac:dyDescent="0.2">
      <c r="A997" s="258"/>
      <c r="B997" s="258"/>
      <c r="C997" s="258"/>
      <c r="D997" s="258"/>
      <c r="E997" s="258"/>
    </row>
    <row r="998" spans="1:5" ht="12.75" x14ac:dyDescent="0.2">
      <c r="A998" s="258"/>
      <c r="B998" s="258"/>
      <c r="C998" s="258"/>
      <c r="D998" s="258"/>
      <c r="E998" s="258"/>
    </row>
    <row r="999" spans="1:5" ht="12.75" x14ac:dyDescent="0.2">
      <c r="A999" s="258"/>
      <c r="B999" s="258"/>
      <c r="C999" s="258"/>
      <c r="D999" s="258"/>
      <c r="E999" s="258"/>
    </row>
    <row r="1000" spans="1:5" ht="12.75" x14ac:dyDescent="0.2">
      <c r="A1000" s="258"/>
      <c r="B1000" s="258"/>
      <c r="C1000" s="258"/>
      <c r="D1000" s="258"/>
      <c r="E1000" s="25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Y4801"/>
  <sheetViews>
    <sheetView workbookViewId="0">
      <pane ySplit="1" topLeftCell="A2" activePane="bottomLeft" state="frozen"/>
      <selection pane="bottomLeft" activeCell="B3" sqref="B3"/>
    </sheetView>
  </sheetViews>
  <sheetFormatPr defaultColWidth="12.5703125" defaultRowHeight="15.75" customHeight="1" x14ac:dyDescent="0.2"/>
  <cols>
    <col min="1" max="1" width="30.5703125" customWidth="1"/>
    <col min="2" max="2" width="17.140625" customWidth="1"/>
    <col min="3" max="3" width="2.5703125" customWidth="1"/>
    <col min="6" max="6" width="2.5703125" customWidth="1"/>
  </cols>
  <sheetData>
    <row r="1" spans="1:25" x14ac:dyDescent="0.2">
      <c r="A1" s="85" t="s">
        <v>65</v>
      </c>
      <c r="B1" s="85" t="s">
        <v>66</v>
      </c>
      <c r="C1" s="85"/>
      <c r="D1" s="86" t="s">
        <v>9</v>
      </c>
      <c r="E1" s="86"/>
      <c r="F1" s="85"/>
      <c r="G1" s="85" t="s">
        <v>67</v>
      </c>
      <c r="H1" s="85"/>
      <c r="I1" s="85"/>
      <c r="J1" s="85"/>
      <c r="K1" s="85"/>
      <c r="L1" s="85"/>
      <c r="M1" s="85"/>
      <c r="N1" s="85"/>
      <c r="O1" s="85"/>
      <c r="P1" s="85"/>
      <c r="Q1" s="85"/>
      <c r="R1" s="85"/>
      <c r="S1" s="85"/>
      <c r="T1" s="85"/>
      <c r="U1" s="85"/>
      <c r="V1" s="85"/>
      <c r="W1" s="85"/>
      <c r="X1" s="85"/>
      <c r="Y1" s="85"/>
    </row>
    <row r="2" spans="1:25" x14ac:dyDescent="0.2">
      <c r="A2" s="87" t="str">
        <f t="array" ref="A2:A499">Keywords!C2:C4801</f>
        <v>invest ABC</v>
      </c>
      <c r="B2" s="87">
        <f t="array" ref="B2:B4801">IFERROR(VLOOKUP(A2:A4801,'rankings-1'!B:C,2,FALSE),"")</f>
        <v>13</v>
      </c>
      <c r="D2" s="87" t="s">
        <v>68</v>
      </c>
      <c r="G2" s="87">
        <f t="array" ref="G2:G2559">'rankings-2'!B2:B4801</f>
        <v>0</v>
      </c>
      <c r="H2" s="87" t="str">
        <f t="array" ref="H2:H4801">IFERROR(VLOOKUP(G2:G4801,'rankings-2'!B:C,2,FALSE),"")</f>
        <v/>
      </c>
    </row>
    <row r="3" spans="1:25" x14ac:dyDescent="0.2">
      <c r="A3" s="87" t="str">
        <v>investors ABC</v>
      </c>
      <c r="B3" s="87">
        <v>84</v>
      </c>
      <c r="D3" s="87" t="s">
        <v>16</v>
      </c>
      <c r="E3" s="87">
        <f>COUNTIFS(B2:B4801,"&gt;=1",B2:B4801,"&lt;=5")</f>
        <v>5</v>
      </c>
      <c r="G3" s="87">
        <v>0</v>
      </c>
      <c r="H3" s="87" t="str">
        <v/>
      </c>
    </row>
    <row r="4" spans="1:25" x14ac:dyDescent="0.2">
      <c r="A4" s="87" t="str">
        <v>mike rogers</v>
      </c>
      <c r="B4" s="87">
        <v>30</v>
      </c>
      <c r="D4" s="87" t="s">
        <v>19</v>
      </c>
      <c r="E4" s="87">
        <f>COUNTIFS(B2:B4801,"&gt;=6",B2:B4801,"&lt;=10")</f>
        <v>3</v>
      </c>
      <c r="G4" s="87">
        <v>0</v>
      </c>
      <c r="H4" s="87" t="str">
        <v/>
      </c>
    </row>
    <row r="5" spans="1:25" x14ac:dyDescent="0.2">
      <c r="A5" s="87" t="str">
        <v>what are income taxes</v>
      </c>
      <c r="B5" s="87">
        <v>89</v>
      </c>
      <c r="D5" s="87" t="s">
        <v>22</v>
      </c>
      <c r="E5" s="87">
        <f>COUNTIFS(B2:B4801,"&gt;=11",B2:B4801,"&lt;=100")</f>
        <v>260</v>
      </c>
      <c r="G5" s="87">
        <v>0</v>
      </c>
      <c r="H5" s="87" t="str">
        <v/>
      </c>
    </row>
    <row r="6" spans="1:25" x14ac:dyDescent="0.2">
      <c r="A6" s="87" t="str">
        <v>what is tax income</v>
      </c>
      <c r="B6" s="87">
        <v>88</v>
      </c>
      <c r="D6" s="88" t="s">
        <v>74</v>
      </c>
      <c r="E6" s="87">
        <f>SUM(E3:E5)</f>
        <v>268</v>
      </c>
      <c r="G6" s="87">
        <v>0</v>
      </c>
      <c r="H6" s="87" t="str">
        <v/>
      </c>
    </row>
    <row r="7" spans="1:25" x14ac:dyDescent="0.2">
      <c r="A7" s="87" t="str">
        <v>what is an income tax</v>
      </c>
      <c r="B7" s="87">
        <v>97</v>
      </c>
      <c r="G7" s="87">
        <v>0</v>
      </c>
      <c r="H7" s="87" t="str">
        <v/>
      </c>
    </row>
    <row r="8" spans="1:25" x14ac:dyDescent="0.2">
      <c r="A8" s="87" t="str">
        <v>socially responsible investing</v>
      </c>
      <c r="B8" s="87">
        <v>61</v>
      </c>
      <c r="D8" s="89" t="s">
        <v>77</v>
      </c>
      <c r="E8" s="90"/>
      <c r="G8" s="87">
        <v>0</v>
      </c>
      <c r="H8" s="87" t="str">
        <v/>
      </c>
    </row>
    <row r="9" spans="1:25" x14ac:dyDescent="0.2">
      <c r="A9" s="87" t="str">
        <v>how do taxes work</v>
      </c>
      <c r="B9" s="87">
        <v>58</v>
      </c>
      <c r="D9" s="87" t="s">
        <v>68</v>
      </c>
      <c r="G9" s="87">
        <v>0</v>
      </c>
      <c r="H9" s="87" t="str">
        <v/>
      </c>
    </row>
    <row r="10" spans="1:25" x14ac:dyDescent="0.2">
      <c r="A10" s="87" t="str">
        <v>jeff thompson</v>
      </c>
      <c r="B10" s="87">
        <v>82</v>
      </c>
      <c r="D10" s="87" t="s">
        <v>16</v>
      </c>
      <c r="E10" s="87">
        <f>COUNTIFS(H2:H4801,"&gt;=1",H2:H4801,"&lt;=5")</f>
        <v>0</v>
      </c>
      <c r="G10" s="87">
        <v>0</v>
      </c>
      <c r="H10" s="87" t="str">
        <v/>
      </c>
    </row>
    <row r="11" spans="1:25" x14ac:dyDescent="0.2">
      <c r="A11" s="87" t="str">
        <v>how does taxes work</v>
      </c>
      <c r="B11" s="87">
        <v>49</v>
      </c>
      <c r="D11" s="87" t="s">
        <v>19</v>
      </c>
      <c r="E11" s="87">
        <f>COUNTIFS(H2:H4801,"&gt;=6",H2:H4801,"&lt;=10")</f>
        <v>0</v>
      </c>
      <c r="G11" s="87">
        <v>0</v>
      </c>
      <c r="H11" s="87" t="str">
        <v/>
      </c>
    </row>
    <row r="12" spans="1:25" x14ac:dyDescent="0.2">
      <c r="A12" s="87" t="str">
        <v>tax brackets married filing jointly</v>
      </c>
      <c r="B12" s="87">
        <v>72</v>
      </c>
      <c r="D12" s="87" t="s">
        <v>22</v>
      </c>
      <c r="E12" s="87">
        <f>COUNTIFS(H2:H4801,"&gt;=11",H2:H4801,"&lt;=100")</f>
        <v>0</v>
      </c>
      <c r="G12" s="87">
        <v>0</v>
      </c>
      <c r="H12" s="87" t="str">
        <v/>
      </c>
    </row>
    <row r="13" spans="1:25" x14ac:dyDescent="0.2">
      <c r="A13" s="87" t="str">
        <v>how does tax work</v>
      </c>
      <c r="B13" s="87">
        <v>86</v>
      </c>
      <c r="D13" s="88" t="s">
        <v>74</v>
      </c>
      <c r="E13" s="87">
        <f>SUM(E10:E12)</f>
        <v>0</v>
      </c>
      <c r="G13" s="87">
        <v>0</v>
      </c>
      <c r="H13" s="87" t="str">
        <v/>
      </c>
    </row>
    <row r="14" spans="1:25" x14ac:dyDescent="0.2">
      <c r="A14" s="87" t="str">
        <v>best retirement planning</v>
      </c>
      <c r="B14" s="87" t="str">
        <v/>
      </c>
      <c r="G14" s="87">
        <v>0</v>
      </c>
      <c r="H14" s="87" t="str">
        <v/>
      </c>
    </row>
    <row r="15" spans="1:25" x14ac:dyDescent="0.2">
      <c r="A15" s="87" t="str">
        <v>eoy</v>
      </c>
      <c r="B15" s="87">
        <v>75</v>
      </c>
      <c r="G15" s="87">
        <v>0</v>
      </c>
      <c r="H15" s="87" t="str">
        <v/>
      </c>
    </row>
    <row r="16" spans="1:25" x14ac:dyDescent="0.2">
      <c r="A16" s="87" t="str">
        <v>ABC savings</v>
      </c>
      <c r="B16" s="87">
        <v>76</v>
      </c>
      <c r="G16" s="87">
        <v>0</v>
      </c>
      <c r="H16" s="87" t="str">
        <v/>
      </c>
    </row>
    <row r="17" spans="1:8" x14ac:dyDescent="0.2">
      <c r="A17" s="87" t="str">
        <v>social security question</v>
      </c>
      <c r="B17" s="87">
        <v>79</v>
      </c>
      <c r="G17" s="87">
        <v>0</v>
      </c>
      <c r="H17" s="87" t="str">
        <v/>
      </c>
    </row>
    <row r="18" spans="1:8" x14ac:dyDescent="0.2">
      <c r="A18" s="87" t="str">
        <v>socially responsible investment</v>
      </c>
      <c r="B18" s="87">
        <v>85</v>
      </c>
      <c r="G18" s="87">
        <v>0</v>
      </c>
      <c r="H18" s="87" t="str">
        <v/>
      </c>
    </row>
    <row r="19" spans="1:8" x14ac:dyDescent="0.2">
      <c r="A19" s="87" t="str">
        <v>ABC p</v>
      </c>
      <c r="B19" s="87">
        <v>98</v>
      </c>
      <c r="G19" s="87">
        <v>0</v>
      </c>
      <c r="H19" s="87" t="str">
        <v/>
      </c>
    </row>
    <row r="20" spans="1:8" x14ac:dyDescent="0.2">
      <c r="A20" s="87" t="str">
        <v>socially responsible investments</v>
      </c>
      <c r="B20" s="87">
        <v>56</v>
      </c>
      <c r="G20" s="87">
        <v>0</v>
      </c>
      <c r="H20" s="87" t="str">
        <v/>
      </c>
    </row>
    <row r="21" spans="1:8" x14ac:dyDescent="0.2">
      <c r="A21" s="87" t="str">
        <v>social security offices minneapolis</v>
      </c>
      <c r="B21" s="87">
        <v>68</v>
      </c>
      <c r="G21" s="87">
        <v>0</v>
      </c>
      <c r="H21" s="87" t="str">
        <v/>
      </c>
    </row>
    <row r="22" spans="1:8" x14ac:dyDescent="0.2">
      <c r="A22" s="87" t="str">
        <v>penny earned is a penny saved</v>
      </c>
      <c r="B22" s="87">
        <v>30</v>
      </c>
      <c r="G22" s="87">
        <v>0</v>
      </c>
      <c r="H22" s="87" t="str">
        <v/>
      </c>
    </row>
    <row r="23" spans="1:8" x14ac:dyDescent="0.2">
      <c r="A23" s="87" t="str">
        <v>ABC life</v>
      </c>
      <c r="B23" s="87">
        <v>44</v>
      </c>
      <c r="G23" s="87">
        <v>0</v>
      </c>
      <c r="H23" s="87" t="str">
        <v/>
      </c>
    </row>
    <row r="24" spans="1:8" x14ac:dyDescent="0.2">
      <c r="A24" s="87" t="str">
        <v>best wealth management firms</v>
      </c>
      <c r="B24" s="87" t="str">
        <v/>
      </c>
      <c r="G24" s="87">
        <v>0</v>
      </c>
      <c r="H24" s="87" t="str">
        <v/>
      </c>
    </row>
    <row r="25" spans="1:8" x14ac:dyDescent="0.2">
      <c r="A25" s="87" t="str">
        <v>credit ABC</v>
      </c>
      <c r="B25" s="87">
        <v>65</v>
      </c>
      <c r="G25" s="87">
        <v>0</v>
      </c>
      <c r="H25" s="87" t="str">
        <v/>
      </c>
    </row>
    <row r="26" spans="1:8" x14ac:dyDescent="0.2">
      <c r="A26" s="87" t="str">
        <v>income limit for roth 401 k</v>
      </c>
      <c r="B26" s="87">
        <v>97</v>
      </c>
      <c r="G26" s="87">
        <v>0</v>
      </c>
      <c r="H26" s="87" t="str">
        <v/>
      </c>
    </row>
    <row r="27" spans="1:8" x14ac:dyDescent="0.2">
      <c r="A27" s="87" t="str">
        <v>withdrawals from roth 401 k</v>
      </c>
      <c r="B27" s="87">
        <v>45</v>
      </c>
      <c r="G27" s="87">
        <v>0</v>
      </c>
      <c r="H27" s="87" t="str">
        <v/>
      </c>
    </row>
    <row r="28" spans="1:8" x14ac:dyDescent="0.2">
      <c r="A28" s="87" t="str">
        <v>savings ABC</v>
      </c>
      <c r="B28" s="87">
        <v>92</v>
      </c>
      <c r="G28" s="87">
        <v>0</v>
      </c>
      <c r="H28" s="87" t="str">
        <v/>
      </c>
    </row>
    <row r="29" spans="1:8" x14ac:dyDescent="0.2">
      <c r="A29" s="87" t="str">
        <v>top wealth management firms</v>
      </c>
      <c r="B29" s="87" t="str">
        <v/>
      </c>
      <c r="G29" s="87">
        <v>0</v>
      </c>
      <c r="H29" s="87" t="str">
        <v/>
      </c>
    </row>
    <row r="30" spans="1:8" x14ac:dyDescent="0.2">
      <c r="A30" s="87" t="str">
        <v>how does income tax work</v>
      </c>
      <c r="B30" s="87">
        <v>82</v>
      </c>
      <c r="G30" s="87">
        <v>0</v>
      </c>
      <c r="H30" s="87" t="str">
        <v/>
      </c>
    </row>
    <row r="31" spans="1:8" x14ac:dyDescent="0.2">
      <c r="A31" s="87" t="str">
        <v>is a depression coming</v>
      </c>
      <c r="B31" s="87">
        <v>67</v>
      </c>
      <c r="G31" s="87">
        <v>0</v>
      </c>
      <c r="H31" s="87" t="str">
        <v/>
      </c>
    </row>
    <row r="32" spans="1:8" x14ac:dyDescent="0.2">
      <c r="A32" s="87" t="str">
        <v>who is on the twenty dollar bill</v>
      </c>
      <c r="B32" s="87">
        <v>92</v>
      </c>
      <c r="G32" s="87">
        <v>0</v>
      </c>
      <c r="H32" s="87" t="str">
        <v/>
      </c>
    </row>
    <row r="33" spans="1:8" x14ac:dyDescent="0.2">
      <c r="A33" s="87" t="str">
        <v>ABC strategies</v>
      </c>
      <c r="B33" s="87">
        <v>64</v>
      </c>
      <c r="G33" s="87">
        <v>0</v>
      </c>
      <c r="H33" s="87" t="str">
        <v/>
      </c>
    </row>
    <row r="34" spans="1:8" x14ac:dyDescent="0.2">
      <c r="A34" s="87" t="str">
        <v>variable rate vs fixed</v>
      </c>
      <c r="B34" s="87">
        <v>90</v>
      </c>
      <c r="G34" s="87">
        <v>0</v>
      </c>
      <c r="H34" s="87" t="str">
        <v/>
      </c>
    </row>
    <row r="35" spans="1:8" x14ac:dyDescent="0.2">
      <c r="A35" s="87" t="str">
        <v>ABC insurance</v>
      </c>
      <c r="B35" s="87">
        <v>59</v>
      </c>
      <c r="G35" s="87">
        <v>0</v>
      </c>
      <c r="H35" s="87" t="str">
        <v/>
      </c>
    </row>
    <row r="36" spans="1:8" x14ac:dyDescent="0.2">
      <c r="A36" s="87" t="str">
        <v>tax planning strategies</v>
      </c>
      <c r="B36" s="87">
        <v>67</v>
      </c>
      <c r="G36" s="87">
        <v>0</v>
      </c>
      <c r="H36" s="87" t="str">
        <v/>
      </c>
    </row>
    <row r="37" spans="1:8" x14ac:dyDescent="0.2">
      <c r="A37" s="87" t="str">
        <v>dan mahoney</v>
      </c>
      <c r="B37" s="87">
        <v>94</v>
      </c>
      <c r="G37" s="87">
        <v>0</v>
      </c>
      <c r="H37" s="87" t="str">
        <v/>
      </c>
    </row>
    <row r="38" spans="1:8" x14ac:dyDescent="0.2">
      <c r="A38" s="87" t="str">
        <v>asset management vs wealth management</v>
      </c>
      <c r="B38" s="87" t="str">
        <v/>
      </c>
      <c r="G38" s="87">
        <v>0</v>
      </c>
      <c r="H38" s="87" t="str">
        <v/>
      </c>
    </row>
    <row r="39" spans="1:8" x14ac:dyDescent="0.2">
      <c r="A39" s="87" t="str">
        <v>who is on twenty dollar bill</v>
      </c>
      <c r="B39" s="87">
        <v>87</v>
      </c>
      <c r="G39" s="87">
        <v>0</v>
      </c>
      <c r="H39" s="87" t="str">
        <v/>
      </c>
    </row>
    <row r="40" spans="1:8" x14ac:dyDescent="0.2">
      <c r="A40" s="87" t="str">
        <v>socially conscious investing</v>
      </c>
      <c r="B40" s="87">
        <v>29</v>
      </c>
      <c r="G40" s="87">
        <v>0</v>
      </c>
      <c r="H40" s="87" t="str">
        <v/>
      </c>
    </row>
    <row r="41" spans="1:8" x14ac:dyDescent="0.2">
      <c r="A41" s="87" t="str">
        <v>best wealth management firm</v>
      </c>
      <c r="B41" s="87" t="str">
        <v/>
      </c>
      <c r="G41" s="87">
        <v>0</v>
      </c>
      <c r="H41" s="87" t="str">
        <v/>
      </c>
    </row>
    <row r="42" spans="1:8" x14ac:dyDescent="0.2">
      <c r="A42" s="87" t="str">
        <v>variable mortgage rate</v>
      </c>
      <c r="B42" s="87">
        <v>62</v>
      </c>
      <c r="G42" s="87">
        <v>0</v>
      </c>
      <c r="H42" s="87" t="str">
        <v/>
      </c>
    </row>
    <row r="43" spans="1:8" x14ac:dyDescent="0.2">
      <c r="A43" s="87" t="str">
        <v>what defines a recession</v>
      </c>
      <c r="B43" s="87">
        <v>48</v>
      </c>
      <c r="G43" s="87">
        <v>0</v>
      </c>
      <c r="H43" s="87" t="str">
        <v/>
      </c>
    </row>
    <row r="44" spans="1:8" x14ac:dyDescent="0.2">
      <c r="A44" s="87" t="str">
        <v>homes for sale wayzata mn</v>
      </c>
      <c r="B44" s="87">
        <v>81</v>
      </c>
      <c r="G44" s="87">
        <v>0</v>
      </c>
      <c r="H44" s="87" t="str">
        <v/>
      </c>
    </row>
    <row r="45" spans="1:8" x14ac:dyDescent="0.2">
      <c r="A45" s="87" t="str">
        <v>buysell business</v>
      </c>
      <c r="B45" s="87">
        <v>73</v>
      </c>
      <c r="G45" s="87">
        <v>0</v>
      </c>
      <c r="H45" s="87" t="str">
        <v/>
      </c>
    </row>
    <row r="46" spans="1:8" x14ac:dyDescent="0.2">
      <c r="A46" s="87" t="str">
        <v>ABC finance</v>
      </c>
      <c r="B46" s="87">
        <v>12</v>
      </c>
      <c r="G46" s="87">
        <v>0</v>
      </c>
      <c r="H46" s="87" t="str">
        <v/>
      </c>
    </row>
    <row r="47" spans="1:8" x14ac:dyDescent="0.2">
      <c r="A47" s="87" t="str">
        <v>lifestyle ABC</v>
      </c>
      <c r="B47" s="87">
        <v>23</v>
      </c>
      <c r="G47" s="87">
        <v>0</v>
      </c>
      <c r="H47" s="87" t="str">
        <v/>
      </c>
    </row>
    <row r="48" spans="1:8" x14ac:dyDescent="0.2">
      <c r="A48" s="87" t="str">
        <v>wealth management vs asset management</v>
      </c>
      <c r="B48" s="87" t="str">
        <v/>
      </c>
      <c r="G48" s="87">
        <v>0</v>
      </c>
      <c r="H48" s="87" t="str">
        <v/>
      </c>
    </row>
    <row r="49" spans="1:8" x14ac:dyDescent="0.2">
      <c r="A49" s="87" t="str">
        <v>ABC anatomy</v>
      </c>
      <c r="B49" s="87">
        <v>74</v>
      </c>
      <c r="G49" s="87">
        <v>0</v>
      </c>
      <c r="H49" s="87" t="str">
        <v/>
      </c>
    </row>
    <row r="50" spans="1:8" x14ac:dyDescent="0.2">
      <c r="A50" s="87" t="str">
        <v>Example Business</v>
      </c>
      <c r="B50" s="87" t="str">
        <v/>
      </c>
      <c r="G50" s="87">
        <v>0</v>
      </c>
      <c r="H50" s="87" t="str">
        <v/>
      </c>
    </row>
    <row r="51" spans="1:8" x14ac:dyDescent="0.2">
      <c r="A51" s="87" t="str">
        <v>money ABC</v>
      </c>
      <c r="B51" s="87">
        <v>26</v>
      </c>
      <c r="G51" s="87">
        <v>0</v>
      </c>
      <c r="H51" s="87" t="str">
        <v/>
      </c>
    </row>
    <row r="52" spans="1:8" x14ac:dyDescent="0.2">
      <c r="A52" s="87" t="str">
        <v>a recession is a decline in</v>
      </c>
      <c r="B52" s="87">
        <v>75</v>
      </c>
      <c r="G52" s="87">
        <v>0</v>
      </c>
      <c r="H52" s="87" t="str">
        <v/>
      </c>
    </row>
    <row r="53" spans="1:8" x14ac:dyDescent="0.2">
      <c r="A53" s="87" t="str">
        <v>wealth management top firms</v>
      </c>
      <c r="B53" s="87" t="str">
        <v/>
      </c>
      <c r="G53" s="87">
        <v>0</v>
      </c>
      <c r="H53" s="87" t="str">
        <v/>
      </c>
    </row>
    <row r="54" spans="1:8" x14ac:dyDescent="0.2">
      <c r="A54" s="87" t="str">
        <v>socially responsible funds</v>
      </c>
      <c r="B54" s="87">
        <v>54</v>
      </c>
      <c r="G54" s="87">
        <v>0</v>
      </c>
      <c r="H54" s="87" t="str">
        <v/>
      </c>
    </row>
    <row r="55" spans="1:8" x14ac:dyDescent="0.2">
      <c r="A55" s="87" t="str">
        <v>when is earnings season</v>
      </c>
      <c r="B55" s="87">
        <v>19</v>
      </c>
      <c r="G55" s="87">
        <v>0</v>
      </c>
      <c r="H55" s="87" t="str">
        <v/>
      </c>
    </row>
    <row r="56" spans="1:8" x14ac:dyDescent="0.2">
      <c r="A56" s="87" t="str">
        <v>where is market headed</v>
      </c>
      <c r="B56" s="87">
        <v>99</v>
      </c>
      <c r="G56" s="87">
        <v>0</v>
      </c>
      <c r="H56" s="87" t="str">
        <v/>
      </c>
    </row>
    <row r="57" spans="1:8" x14ac:dyDescent="0.2">
      <c r="A57" s="87" t="str">
        <v>socially responsible investing companies</v>
      </c>
      <c r="B57" s="87">
        <v>56</v>
      </c>
      <c r="G57" s="87">
        <v>0</v>
      </c>
      <c r="H57" s="87" t="str">
        <v/>
      </c>
    </row>
    <row r="58" spans="1:8" x14ac:dyDescent="0.2">
      <c r="A58" s="87" t="str">
        <v>estate ABC</v>
      </c>
      <c r="B58" s="87">
        <v>26</v>
      </c>
      <c r="G58" s="87">
        <v>0</v>
      </c>
      <c r="H58" s="87" t="str">
        <v/>
      </c>
    </row>
    <row r="59" spans="1:8" x14ac:dyDescent="0.2">
      <c r="A59" s="87" t="str">
        <v>socially conscious investors</v>
      </c>
      <c r="B59" s="87">
        <v>87</v>
      </c>
      <c r="G59" s="87">
        <v>0</v>
      </c>
      <c r="H59" s="87" t="str">
        <v/>
      </c>
    </row>
    <row r="60" spans="1:8" x14ac:dyDescent="0.2">
      <c r="A60" s="87" t="str">
        <v>lpl Example logo</v>
      </c>
      <c r="B60" s="87" t="str">
        <v/>
      </c>
      <c r="G60" s="87">
        <v>0</v>
      </c>
      <c r="H60" s="87" t="str">
        <v/>
      </c>
    </row>
    <row r="61" spans="1:8" x14ac:dyDescent="0.2">
      <c r="A61" s="87" t="str">
        <v>wealth management vs Example advisor</v>
      </c>
      <c r="B61" s="87" t="str">
        <v/>
      </c>
      <c r="G61" s="87">
        <v>0</v>
      </c>
      <c r="H61" s="87" t="str">
        <v/>
      </c>
    </row>
    <row r="62" spans="1:8" x14ac:dyDescent="0.2">
      <c r="A62" s="87" t="str">
        <v>capital alliance</v>
      </c>
      <c r="B62" s="87">
        <v>92</v>
      </c>
      <c r="G62" s="87">
        <v>0</v>
      </c>
      <c r="H62" s="87" t="str">
        <v/>
      </c>
    </row>
    <row r="63" spans="1:8" x14ac:dyDescent="0.2">
      <c r="A63" s="87" t="str">
        <v>alternative investment management</v>
      </c>
      <c r="B63" s="87" t="str">
        <v/>
      </c>
      <c r="G63" s="87">
        <v>0</v>
      </c>
      <c r="H63" s="87" t="str">
        <v/>
      </c>
    </row>
    <row r="64" spans="1:8" x14ac:dyDescent="0.2">
      <c r="A64" s="87" t="str">
        <v>best retirement planning companies</v>
      </c>
      <c r="B64" s="87" t="str">
        <v/>
      </c>
      <c r="G64" s="87">
        <v>0</v>
      </c>
      <c r="H64" s="87" t="str">
        <v/>
      </c>
    </row>
    <row r="65" spans="1:8" x14ac:dyDescent="0.2">
      <c r="A65" s="87" t="str">
        <v>evaluating risk</v>
      </c>
      <c r="B65" s="87">
        <v>62</v>
      </c>
      <c r="G65" s="87">
        <v>0</v>
      </c>
      <c r="H65" s="87" t="str">
        <v/>
      </c>
    </row>
    <row r="66" spans="1:8" x14ac:dyDescent="0.2">
      <c r="A66" s="87" t="str">
        <v>in personal finance, what is considered a need?</v>
      </c>
      <c r="B66" s="87">
        <v>47</v>
      </c>
      <c r="G66" s="87">
        <v>0</v>
      </c>
      <c r="H66" s="87" t="str">
        <v/>
      </c>
    </row>
    <row r="67" spans="1:8" x14ac:dyDescent="0.2">
      <c r="A67" s="87" t="str">
        <v>teachingmoney</v>
      </c>
      <c r="B67" s="87">
        <v>65</v>
      </c>
      <c r="G67" s="87">
        <v>0</v>
      </c>
      <c r="H67" s="87" t="str">
        <v/>
      </c>
    </row>
    <row r="68" spans="1:8" x14ac:dyDescent="0.2">
      <c r="A68" s="87" t="str">
        <v>which of the following is not something you should consider when evaluating an investment advisor?</v>
      </c>
      <c r="B68" s="87">
        <v>83</v>
      </c>
      <c r="G68" s="87">
        <v>0</v>
      </c>
      <c r="H68" s="87" t="str">
        <v/>
      </c>
    </row>
    <row r="69" spans="1:8" x14ac:dyDescent="0.2">
      <c r="A69" s="87" t="str">
        <v>lpl find an advisor</v>
      </c>
      <c r="B69" s="87">
        <v>100</v>
      </c>
      <c r="G69" s="87">
        <v>0</v>
      </c>
      <c r="H69" s="87" t="str">
        <v/>
      </c>
    </row>
    <row r="70" spans="1:8" x14ac:dyDescent="0.2">
      <c r="A70" s="87" t="str">
        <v>estate planning vs will</v>
      </c>
      <c r="B70" s="87" t="str">
        <v/>
      </c>
      <c r="G70" s="87">
        <v>0</v>
      </c>
      <c r="H70" s="87" t="str">
        <v/>
      </c>
    </row>
    <row r="71" spans="1:8" x14ac:dyDescent="0.2">
      <c r="A71" s="87" t="str">
        <v>will vs estate planning</v>
      </c>
      <c r="B71" s="87" t="str">
        <v/>
      </c>
      <c r="G71" s="87">
        <v>0</v>
      </c>
      <c r="H71" s="87" t="str">
        <v/>
      </c>
    </row>
    <row r="72" spans="1:8" x14ac:dyDescent="0.2">
      <c r="A72" s="87" t="str">
        <v>what are income taxes used for</v>
      </c>
      <c r="B72" s="87">
        <v>89</v>
      </c>
      <c r="G72" s="87">
        <v>0</v>
      </c>
      <c r="H72" s="87" t="str">
        <v/>
      </c>
    </row>
    <row r="73" spans="1:8" x14ac:dyDescent="0.2">
      <c r="A73" s="87" t="str">
        <v>Example advisor minneapolis</v>
      </c>
      <c r="B73" s="87" t="str">
        <v/>
      </c>
      <c r="G73" s="87">
        <v>0</v>
      </c>
      <c r="H73" s="87" t="str">
        <v/>
      </c>
    </row>
    <row r="74" spans="1:8" x14ac:dyDescent="0.2">
      <c r="A74" s="87" t="str">
        <v>whole ABC</v>
      </c>
      <c r="B74" s="87">
        <v>35</v>
      </c>
      <c r="G74" s="87">
        <v>0</v>
      </c>
      <c r="H74" s="87" t="str">
        <v/>
      </c>
    </row>
    <row r="75" spans="1:8" x14ac:dyDescent="0.2">
      <c r="A75" s="87" t="str">
        <v>investment management vs asset management</v>
      </c>
      <c r="B75" s="87" t="str">
        <v/>
      </c>
      <c r="G75" s="87">
        <v>0</v>
      </c>
      <c r="H75" s="87" t="str">
        <v/>
      </c>
    </row>
    <row r="76" spans="1:8" x14ac:dyDescent="0.2">
      <c r="A76" s="87" t="str">
        <v>best retirement planning books</v>
      </c>
      <c r="B76" s="87" t="str">
        <v/>
      </c>
      <c r="G76" s="87">
        <v>0</v>
      </c>
      <c r="H76" s="87" t="str">
        <v/>
      </c>
    </row>
    <row r="77" spans="1:8" x14ac:dyDescent="0.2">
      <c r="A77" s="87" t="str">
        <v>events ABC</v>
      </c>
      <c r="B77" s="87">
        <v>82</v>
      </c>
      <c r="G77" s="87">
        <v>0</v>
      </c>
      <c r="H77" s="87" t="str">
        <v/>
      </c>
    </row>
    <row r="78" spans="1:8" x14ac:dyDescent="0.2">
      <c r="A78" s="87" t="str">
        <v>boomers in the know</v>
      </c>
      <c r="B78" s="87">
        <v>30</v>
      </c>
      <c r="G78" s="87">
        <v>0</v>
      </c>
      <c r="H78" s="87" t="str">
        <v/>
      </c>
    </row>
    <row r="79" spans="1:8" x14ac:dyDescent="0.2">
      <c r="A79" s="87" t="str">
        <v>top investment management firm</v>
      </c>
      <c r="B79" s="87" t="str">
        <v/>
      </c>
      <c r="G79" s="87">
        <v>0</v>
      </c>
      <c r="H79" s="87" t="str">
        <v/>
      </c>
    </row>
    <row r="80" spans="1:8" x14ac:dyDescent="0.2">
      <c r="A80" s="87" t="str">
        <v>what is socially responsible investing</v>
      </c>
      <c r="B80" s="87">
        <v>65</v>
      </c>
      <c r="G80" s="87">
        <v>0</v>
      </c>
      <c r="H80" s="87" t="str">
        <v/>
      </c>
    </row>
    <row r="81" spans="1:8" x14ac:dyDescent="0.2">
      <c r="A81" s="87" t="str">
        <v>what is the estimated lifespan of a u.s. $1 bill</v>
      </c>
      <c r="B81" s="87">
        <v>45</v>
      </c>
      <c r="G81" s="87">
        <v>0</v>
      </c>
      <c r="H81" s="87" t="str">
        <v/>
      </c>
    </row>
    <row r="82" spans="1:8" x14ac:dyDescent="0.2">
      <c r="A82" s="87" t="str">
        <v>www.lpl.com login</v>
      </c>
      <c r="B82" s="87">
        <v>95</v>
      </c>
      <c r="G82" s="87">
        <v>0</v>
      </c>
      <c r="H82" s="87" t="str">
        <v/>
      </c>
    </row>
    <row r="83" spans="1:8" x14ac:dyDescent="0.2">
      <c r="A83" s="87" t="str">
        <v>asset management vs investment management</v>
      </c>
      <c r="B83" s="87" t="str">
        <v/>
      </c>
      <c r="G83" s="87">
        <v>0</v>
      </c>
      <c r="H83" s="87" t="str">
        <v/>
      </c>
    </row>
    <row r="84" spans="1:8" x14ac:dyDescent="0.2">
      <c r="A84" s="87" t="str">
        <v>100 20 dollar bills</v>
      </c>
      <c r="B84" s="87">
        <v>83</v>
      </c>
      <c r="G84" s="87">
        <v>0</v>
      </c>
      <c r="H84" s="87" t="str">
        <v/>
      </c>
    </row>
    <row r="85" spans="1:8" x14ac:dyDescent="0.2">
      <c r="A85" s="87" t="str">
        <v>minneapolis Example advisor</v>
      </c>
      <c r="B85" s="87" t="str">
        <v/>
      </c>
      <c r="G85" s="87">
        <v>0</v>
      </c>
      <c r="H85" s="87" t="str">
        <v/>
      </c>
    </row>
    <row r="86" spans="1:8" x14ac:dyDescent="0.2">
      <c r="A86" s="87" t="str">
        <v>what are income tax</v>
      </c>
      <c r="B86" s="87">
        <v>93</v>
      </c>
      <c r="G86" s="87">
        <v>0</v>
      </c>
      <c r="H86" s="87" t="str">
        <v/>
      </c>
    </row>
    <row r="87" spans="1:8" x14ac:dyDescent="0.2">
      <c r="A87" s="87" t="str">
        <v>best books on retirement planning</v>
      </c>
      <c r="B87" s="87" t="str">
        <v/>
      </c>
      <c r="G87" s="87">
        <v>0</v>
      </c>
      <c r="H87" s="87" t="str">
        <v/>
      </c>
    </row>
    <row r="88" spans="1:8" x14ac:dyDescent="0.2">
      <c r="A88" s="87" t="str">
        <v>Example advisor mn</v>
      </c>
      <c r="B88" s="87" t="str">
        <v/>
      </c>
      <c r="G88" s="87">
        <v>0</v>
      </c>
      <c r="H88" s="87" t="str">
        <v/>
      </c>
    </row>
    <row r="89" spans="1:8" x14ac:dyDescent="0.2">
      <c r="A89" s="87" t="str">
        <v>aspire 401k login</v>
      </c>
      <c r="B89" s="87">
        <v>67</v>
      </c>
      <c r="G89" s="87">
        <v>0</v>
      </c>
      <c r="H89" s="87" t="str">
        <v/>
      </c>
    </row>
    <row r="90" spans="1:8" x14ac:dyDescent="0.2">
      <c r="A90" s="87" t="str">
        <v>when was the 20 dollar bill made</v>
      </c>
      <c r="B90" s="87">
        <v>96</v>
      </c>
      <c r="G90" s="87">
        <v>0</v>
      </c>
      <c r="H90" s="87" t="str">
        <v/>
      </c>
    </row>
    <row r="91" spans="1:8" x14ac:dyDescent="0.2">
      <c r="A91" s="87" t="str">
        <v>best book on retirement planning</v>
      </c>
      <c r="B91" s="87" t="str">
        <v/>
      </c>
      <c r="G91" s="87">
        <v>0</v>
      </c>
      <c r="H91" s="87" t="str">
        <v/>
      </c>
    </row>
    <row r="92" spans="1:8" x14ac:dyDescent="0.2">
      <c r="A92" s="87" t="str">
        <v>best books for retirement planning</v>
      </c>
      <c r="B92" s="87" t="str">
        <v/>
      </c>
      <c r="G92" s="87">
        <v>0</v>
      </c>
      <c r="H92" s="87" t="str">
        <v/>
      </c>
    </row>
    <row r="93" spans="1:8" x14ac:dyDescent="0.2">
      <c r="A93" s="87" t="str">
        <v>mortgage ABC</v>
      </c>
      <c r="B93" s="87">
        <v>27</v>
      </c>
      <c r="G93" s="87">
        <v>0</v>
      </c>
      <c r="H93" s="87" t="str">
        <v/>
      </c>
    </row>
    <row r="94" spans="1:8" x14ac:dyDescent="0.2">
      <c r="A94" s="87" t="str">
        <v>works ABC</v>
      </c>
      <c r="B94" s="87">
        <v>57</v>
      </c>
      <c r="G94" s="87">
        <v>0</v>
      </c>
      <c r="H94" s="87" t="str">
        <v/>
      </c>
    </row>
    <row r="95" spans="1:8" x14ac:dyDescent="0.2">
      <c r="A95" s="87" t="str">
        <v>moneychimp com</v>
      </c>
      <c r="B95" s="87">
        <v>84</v>
      </c>
      <c r="G95" s="87">
        <v>0</v>
      </c>
      <c r="H95" s="87" t="str">
        <v/>
      </c>
    </row>
    <row r="96" spans="1:8" x14ac:dyDescent="0.2">
      <c r="A96" s="87" t="str">
        <v>rise ABC login</v>
      </c>
      <c r="B96" s="87">
        <v>82</v>
      </c>
      <c r="G96" s="87">
        <v>0</v>
      </c>
      <c r="H96" s="87" t="str">
        <v/>
      </c>
    </row>
    <row r="97" spans="1:8" x14ac:dyDescent="0.2">
      <c r="A97" s="87" t="str">
        <v>ABC cycles</v>
      </c>
      <c r="B97" s="87">
        <v>100</v>
      </c>
      <c r="G97" s="87">
        <v>0</v>
      </c>
      <c r="H97" s="87" t="str">
        <v/>
      </c>
    </row>
    <row r="98" spans="1:8" x14ac:dyDescent="0.2">
      <c r="A98" s="87" t="str">
        <v>best book for retirement planning</v>
      </c>
      <c r="B98" s="87" t="str">
        <v/>
      </c>
      <c r="G98" s="87">
        <v>0</v>
      </c>
      <c r="H98" s="87" t="str">
        <v/>
      </c>
    </row>
    <row r="99" spans="1:8" x14ac:dyDescent="0.2">
      <c r="A99" s="87" t="str">
        <v>best retirement planning book</v>
      </c>
      <c r="B99" s="87" t="str">
        <v/>
      </c>
      <c r="G99" s="87">
        <v>0</v>
      </c>
      <c r="H99" s="87" t="str">
        <v/>
      </c>
    </row>
    <row r="100" spans="1:8" x14ac:dyDescent="0.2">
      <c r="A100" s="87" t="str">
        <v>investment banking vs investment management</v>
      </c>
      <c r="B100" s="87" t="str">
        <v/>
      </c>
      <c r="G100" s="87">
        <v>0</v>
      </c>
      <c r="H100" s="87" t="str">
        <v/>
      </c>
    </row>
    <row r="101" spans="1:8" x14ac:dyDescent="0.2">
      <c r="A101" s="87" t="str">
        <v>best investment management firm</v>
      </c>
      <c r="B101" s="87" t="str">
        <v/>
      </c>
      <c r="G101" s="87">
        <v>0</v>
      </c>
      <c r="H101" s="87" t="str">
        <v/>
      </c>
    </row>
    <row r="102" spans="1:8" x14ac:dyDescent="0.2">
      <c r="A102" s="87" t="str">
        <v>Example planning images</v>
      </c>
      <c r="B102" s="87" t="str">
        <v/>
      </c>
      <c r="G102" s="87">
        <v>0</v>
      </c>
      <c r="H102" s="87" t="str">
        <v/>
      </c>
    </row>
    <row r="103" spans="1:8" x14ac:dyDescent="0.2">
      <c r="A103" s="87" t="str">
        <v>choppy seas</v>
      </c>
      <c r="B103" s="87">
        <v>87</v>
      </c>
      <c r="G103" s="87">
        <v>0</v>
      </c>
      <c r="H103" s="87" t="str">
        <v/>
      </c>
    </row>
    <row r="104" spans="1:8" x14ac:dyDescent="0.2">
      <c r="A104" s="87" t="str">
        <v>wealth management vs investment banking</v>
      </c>
      <c r="B104" s="87" t="str">
        <v/>
      </c>
      <c r="G104" s="87">
        <v>0</v>
      </c>
      <c r="H104" s="87" t="str">
        <v/>
      </c>
    </row>
    <row r="105" spans="1:8" x14ac:dyDescent="0.2">
      <c r="A105" s="87" t="str">
        <v>best wealth management</v>
      </c>
      <c r="B105" s="87" t="str">
        <v/>
      </c>
      <c r="G105" s="87">
        <v>0</v>
      </c>
      <c r="H105" s="87" t="str">
        <v/>
      </c>
    </row>
    <row r="106" spans="1:8" x14ac:dyDescent="0.2">
      <c r="A106" s="87" t="str">
        <v>top investment management firms</v>
      </c>
      <c r="B106" s="87" t="str">
        <v/>
      </c>
      <c r="G106" s="87">
        <v>0</v>
      </c>
      <c r="H106" s="87" t="str">
        <v/>
      </c>
    </row>
    <row r="107" spans="1:8" x14ac:dyDescent="0.2">
      <c r="A107" s="87" t="str">
        <v>Example planner mn</v>
      </c>
      <c r="B107" s="87" t="str">
        <v/>
      </c>
      <c r="G107" s="87">
        <v>0</v>
      </c>
      <c r="H107" s="87" t="str">
        <v/>
      </c>
    </row>
    <row r="108" spans="1:8" x14ac:dyDescent="0.2">
      <c r="A108" s="87" t="str">
        <v>www ABC</v>
      </c>
      <c r="B108" s="87">
        <v>19</v>
      </c>
      <c r="G108" s="87">
        <v>0</v>
      </c>
      <c r="H108" s="87" t="str">
        <v/>
      </c>
    </row>
    <row r="109" spans="1:8" x14ac:dyDescent="0.2">
      <c r="A109" s="87" t="str">
        <v>net ABC</v>
      </c>
      <c r="B109" s="87">
        <v>30</v>
      </c>
      <c r="G109" s="87">
        <v>0</v>
      </c>
      <c r="H109" s="87" t="str">
        <v/>
      </c>
    </row>
    <row r="110" spans="1:8" x14ac:dyDescent="0.2">
      <c r="A110" s="87" t="str">
        <v>after tax 401k withdrawal</v>
      </c>
      <c r="B110" s="87">
        <v>86</v>
      </c>
      <c r="G110" s="87">
        <v>0</v>
      </c>
      <c r="H110" s="87" t="str">
        <v/>
      </c>
    </row>
    <row r="111" spans="1:8" x14ac:dyDescent="0.2">
      <c r="A111" s="87" t="str">
        <v>$20 bills</v>
      </c>
      <c r="B111" s="87">
        <v>66</v>
      </c>
      <c r="G111" s="87">
        <v>0</v>
      </c>
      <c r="H111" s="87" t="str">
        <v/>
      </c>
    </row>
    <row r="112" spans="1:8" x14ac:dyDescent="0.2">
      <c r="A112" s="87" t="str">
        <v>planned Example services</v>
      </c>
      <c r="B112" s="87" t="str">
        <v/>
      </c>
      <c r="G112" s="87">
        <v>0</v>
      </c>
      <c r="H112" s="87" t="str">
        <v/>
      </c>
    </row>
    <row r="113" spans="1:8" x14ac:dyDescent="0.2">
      <c r="A113" s="87" t="str">
        <v>private banking vs wealth management</v>
      </c>
      <c r="B113" s="87" t="str">
        <v/>
      </c>
      <c r="G113" s="87">
        <v>0</v>
      </c>
      <c r="H113" s="87" t="str">
        <v/>
      </c>
    </row>
    <row r="114" spans="1:8" x14ac:dyDescent="0.2">
      <c r="A114" s="87" t="str">
        <v>Example advisors mn</v>
      </c>
      <c r="B114" s="87" t="str">
        <v/>
      </c>
      <c r="G114" s="87">
        <v>0</v>
      </c>
      <c r="H114" s="87" t="str">
        <v/>
      </c>
    </row>
    <row r="115" spans="1:8" x14ac:dyDescent="0.2">
      <c r="A115" s="87" t="str">
        <v>Example advisor minnesota</v>
      </c>
      <c r="B115" s="87" t="str">
        <v/>
      </c>
      <c r="G115" s="87">
        <v>0</v>
      </c>
      <c r="H115" s="87" t="str">
        <v/>
      </c>
    </row>
    <row r="116" spans="1:8" x14ac:dyDescent="0.2">
      <c r="A116" s="87" t="str">
        <v>Example Business group</v>
      </c>
      <c r="B116" s="87" t="str">
        <v/>
      </c>
      <c r="G116" s="87">
        <v>0</v>
      </c>
      <c r="H116" s="87" t="str">
        <v/>
      </c>
    </row>
    <row r="117" spans="1:8" x14ac:dyDescent="0.2">
      <c r="A117" s="87" t="str">
        <v>insurance ABC</v>
      </c>
      <c r="B117" s="87">
        <v>44</v>
      </c>
      <c r="G117" s="87">
        <v>0</v>
      </c>
      <c r="H117" s="87" t="str">
        <v/>
      </c>
    </row>
    <row r="118" spans="1:8" x14ac:dyDescent="0.2">
      <c r="A118" s="87" t="str">
        <v>socially responsible investing funds</v>
      </c>
      <c r="B118" s="87">
        <v>55</v>
      </c>
      <c r="G118" s="87">
        <v>0</v>
      </c>
      <c r="H118" s="87" t="str">
        <v/>
      </c>
    </row>
    <row r="119" spans="1:8" x14ac:dyDescent="0.2">
      <c r="A119" s="87" t="str">
        <v>wealth management minneapolis</v>
      </c>
      <c r="B119" s="87" t="str">
        <v/>
      </c>
      <c r="G119" s="87">
        <v>0</v>
      </c>
      <c r="H119" s="87" t="str">
        <v/>
      </c>
    </row>
    <row r="120" spans="1:8" x14ac:dyDescent="0.2">
      <c r="A120" s="87" t="str">
        <v>best investment management firms</v>
      </c>
      <c r="B120" s="87" t="str">
        <v/>
      </c>
      <c r="G120" s="87">
        <v>0</v>
      </c>
      <c r="H120" s="87" t="str">
        <v/>
      </c>
    </row>
    <row r="121" spans="1:8" x14ac:dyDescent="0.2">
      <c r="A121" s="87" t="str">
        <v>personal capital wealth management review</v>
      </c>
      <c r="B121" s="87" t="str">
        <v/>
      </c>
      <c r="G121" s="87">
        <v>0</v>
      </c>
      <c r="H121" s="87" t="str">
        <v/>
      </c>
    </row>
    <row r="122" spans="1:8" x14ac:dyDescent="0.2">
      <c r="A122" s="87" t="str">
        <v>best Example planning companies</v>
      </c>
      <c r="B122" s="87" t="str">
        <v/>
      </c>
      <c r="G122" s="87">
        <v>0</v>
      </c>
      <c r="H122" s="87" t="str">
        <v/>
      </c>
    </row>
    <row r="123" spans="1:8" x14ac:dyDescent="0.2">
      <c r="A123" s="87" t="str">
        <v>exchange ABC</v>
      </c>
      <c r="B123" s="87">
        <v>48</v>
      </c>
      <c r="G123" s="87">
        <v>0</v>
      </c>
      <c r="H123" s="87" t="str">
        <v/>
      </c>
    </row>
    <row r="124" spans="1:8" x14ac:dyDescent="0.2">
      <c r="A124" s="87" t="str">
        <v>lineweaver Example</v>
      </c>
      <c r="B124" s="87" t="str">
        <v/>
      </c>
      <c r="G124" s="87">
        <v>0</v>
      </c>
      <c r="H124" s="87" t="str">
        <v/>
      </c>
    </row>
    <row r="125" spans="1:8" x14ac:dyDescent="0.2">
      <c r="A125" s="87" t="str">
        <v>wealth management vs investment management</v>
      </c>
      <c r="B125" s="87" t="str">
        <v/>
      </c>
      <c r="G125" s="87">
        <v>0</v>
      </c>
      <c r="H125" s="87" t="str">
        <v/>
      </c>
    </row>
    <row r="126" spans="1:8" x14ac:dyDescent="0.2">
      <c r="A126" s="87" t="str">
        <v>wealth management vs Example planning</v>
      </c>
      <c r="B126" s="87" t="str">
        <v/>
      </c>
      <c r="G126" s="87">
        <v>0</v>
      </c>
      <c r="H126" s="87" t="str">
        <v/>
      </c>
    </row>
    <row r="127" spans="1:8" x14ac:dyDescent="0.2">
      <c r="A127" s="87" t="str">
        <v>mindfulness money</v>
      </c>
      <c r="B127" s="87">
        <v>41</v>
      </c>
      <c r="G127" s="87">
        <v>0</v>
      </c>
      <c r="H127" s="87" t="str">
        <v/>
      </c>
    </row>
    <row r="128" spans="1:8" x14ac:dyDescent="0.2">
      <c r="A128" s="87" t="str">
        <v>Example planning minneapolis</v>
      </c>
      <c r="B128" s="87" t="str">
        <v/>
      </c>
      <c r="G128" s="87">
        <v>0</v>
      </c>
      <c r="H128" s="87" t="str">
        <v/>
      </c>
    </row>
    <row r="129" spans="1:8" x14ac:dyDescent="0.2">
      <c r="A129" s="87" t="str">
        <v>how does federal income tax work</v>
      </c>
      <c r="B129" s="87">
        <v>44</v>
      </c>
      <c r="G129" s="87">
        <v>0</v>
      </c>
      <c r="H129" s="87" t="str">
        <v/>
      </c>
    </row>
    <row r="130" spans="1:8" x14ac:dyDescent="0.2">
      <c r="A130" s="87" t="str">
        <v>vanderpoel</v>
      </c>
      <c r="B130" s="87">
        <v>47</v>
      </c>
      <c r="G130" s="87">
        <v>0</v>
      </c>
      <c r="H130" s="87" t="str">
        <v/>
      </c>
    </row>
    <row r="131" spans="1:8" x14ac:dyDescent="0.2">
      <c r="A131" s="87" t="str">
        <v>roth 401k tax deduction</v>
      </c>
      <c r="B131" s="87">
        <v>63</v>
      </c>
      <c r="G131" s="87">
        <v>0</v>
      </c>
      <c r="H131" s="87" t="str">
        <v/>
      </c>
    </row>
    <row r="132" spans="1:8" x14ac:dyDescent="0.2">
      <c r="A132" s="87" t="str">
        <v>perseverance vs resilience</v>
      </c>
      <c r="B132" s="87">
        <v>48</v>
      </c>
      <c r="G132" s="87">
        <v>0</v>
      </c>
      <c r="H132" s="87" t="str">
        <v/>
      </c>
    </row>
    <row r="133" spans="1:8" x14ac:dyDescent="0.2">
      <c r="A133" s="87" t="str">
        <v>current ABC</v>
      </c>
      <c r="B133" s="87">
        <v>55</v>
      </c>
      <c r="G133" s="87">
        <v>0</v>
      </c>
      <c r="H133" s="87" t="str">
        <v/>
      </c>
    </row>
    <row r="134" spans="1:8" x14ac:dyDescent="0.2">
      <c r="A134" s="87" t="str">
        <v>best socially responsible funds</v>
      </c>
      <c r="B134" s="87">
        <v>92</v>
      </c>
      <c r="G134" s="87">
        <v>0</v>
      </c>
      <c r="H134" s="87" t="str">
        <v/>
      </c>
    </row>
    <row r="135" spans="1:8" x14ac:dyDescent="0.2">
      <c r="A135" s="87" t="str">
        <v>true north Example</v>
      </c>
      <c r="B135" s="87" t="str">
        <v/>
      </c>
      <c r="G135" s="87">
        <v>0</v>
      </c>
      <c r="H135" s="87" t="str">
        <v/>
      </c>
    </row>
    <row r="136" spans="1:8" x14ac:dyDescent="0.2">
      <c r="A136" s="87" t="str">
        <v>wealth management vs private banking</v>
      </c>
      <c r="B136" s="87" t="str">
        <v/>
      </c>
      <c r="G136" s="87">
        <v>0</v>
      </c>
      <c r="H136" s="87" t="str">
        <v/>
      </c>
    </row>
    <row r="137" spans="1:8" x14ac:dyDescent="0.2">
      <c r="A137" s="87" t="str">
        <v>fmg portal</v>
      </c>
      <c r="B137" s="87">
        <v>93</v>
      </c>
      <c r="G137" s="87">
        <v>0</v>
      </c>
      <c r="H137" s="87" t="str">
        <v/>
      </c>
    </row>
    <row r="138" spans="1:8" x14ac:dyDescent="0.2">
      <c r="A138" s="87" t="str">
        <v>the best definition of estate planning is</v>
      </c>
      <c r="B138" s="87" t="str">
        <v/>
      </c>
      <c r="G138" s="87">
        <v>0</v>
      </c>
      <c r="H138" s="87" t="str">
        <v/>
      </c>
    </row>
    <row r="139" spans="1:8" x14ac:dyDescent="0.2">
      <c r="A139" s="87" t="str">
        <v>investment banking vs wealth management</v>
      </c>
      <c r="B139" s="87" t="str">
        <v/>
      </c>
      <c r="G139" s="87">
        <v>0</v>
      </c>
      <c r="H139" s="87" t="str">
        <v/>
      </c>
    </row>
    <row r="140" spans="1:8" x14ac:dyDescent="0.2">
      <c r="A140" s="87" t="str">
        <v>nicholas Example login</v>
      </c>
      <c r="B140" s="87" t="str">
        <v/>
      </c>
      <c r="G140" s="87">
        <v>0</v>
      </c>
      <c r="H140" s="87" t="str">
        <v/>
      </c>
    </row>
    <row r="141" spans="1:8" x14ac:dyDescent="0.2">
      <c r="A141" s="87" t="str">
        <v>asset vs wealth management</v>
      </c>
      <c r="B141" s="87" t="str">
        <v/>
      </c>
      <c r="G141" s="87">
        <v>0</v>
      </c>
      <c r="H141" s="87" t="str">
        <v/>
      </c>
    </row>
    <row r="142" spans="1:8" x14ac:dyDescent="0.2">
      <c r="A142" s="87" t="str">
        <v>calendar ABC</v>
      </c>
      <c r="B142" s="87">
        <v>23</v>
      </c>
      <c r="G142" s="87">
        <v>0</v>
      </c>
      <c r="H142" s="87" t="str">
        <v/>
      </c>
    </row>
    <row r="143" spans="1:8" x14ac:dyDescent="0.2">
      <c r="A143" s="87" t="str">
        <v>ABC wealth management</v>
      </c>
      <c r="B143" s="87">
        <v>26</v>
      </c>
      <c r="G143" s="87">
        <v>0</v>
      </c>
      <c r="H143" s="87" t="str">
        <v/>
      </c>
    </row>
    <row r="144" spans="1:8" x14ac:dyDescent="0.2">
      <c r="A144" s="87" t="str">
        <v>vieyra</v>
      </c>
      <c r="B144" s="87">
        <v>24</v>
      </c>
      <c r="G144" s="87">
        <v>0</v>
      </c>
      <c r="H144" s="87" t="str">
        <v/>
      </c>
    </row>
    <row r="145" spans="1:8" x14ac:dyDescent="0.2">
      <c r="A145" s="87" t="str">
        <v>ABC calendar</v>
      </c>
      <c r="B145" s="87">
        <v>39</v>
      </c>
      <c r="G145" s="87">
        <v>0</v>
      </c>
      <c r="H145" s="87" t="str">
        <v/>
      </c>
    </row>
    <row r="146" spans="1:8" x14ac:dyDescent="0.2">
      <c r="A146" s="87" t="str">
        <v>the coming depression</v>
      </c>
      <c r="B146" s="87">
        <v>71</v>
      </c>
      <c r="G146" s="87">
        <v>0</v>
      </c>
      <c r="H146" s="87" t="str">
        <v/>
      </c>
    </row>
    <row r="147" spans="1:8" x14ac:dyDescent="0.2">
      <c r="A147" s="87" t="str">
        <v>best estate planning books</v>
      </c>
      <c r="B147" s="87" t="str">
        <v/>
      </c>
      <c r="G147" s="87">
        <v>0</v>
      </c>
      <c r="H147" s="87" t="str">
        <v/>
      </c>
    </row>
    <row r="148" spans="1:8" x14ac:dyDescent="0.2">
      <c r="A148" s="87" t="str">
        <v>robert withers</v>
      </c>
      <c r="B148" s="87">
        <v>20</v>
      </c>
      <c r="G148" s="87">
        <v>0</v>
      </c>
      <c r="H148" s="87" t="str">
        <v/>
      </c>
    </row>
    <row r="149" spans="1:8" x14ac:dyDescent="0.2">
      <c r="A149" s="87" t="str">
        <v>john ABC</v>
      </c>
      <c r="B149" s="87">
        <v>47</v>
      </c>
      <c r="G149" s="87">
        <v>0</v>
      </c>
      <c r="H149" s="87" t="str">
        <v/>
      </c>
    </row>
    <row r="150" spans="1:8" x14ac:dyDescent="0.2">
      <c r="A150" s="87" t="str">
        <v>true north capital</v>
      </c>
      <c r="B150" s="87">
        <v>51</v>
      </c>
      <c r="G150" s="87">
        <v>0</v>
      </c>
      <c r="H150" s="87" t="str">
        <v/>
      </c>
    </row>
    <row r="151" spans="1:8" x14ac:dyDescent="0.2">
      <c r="A151" s="87" t="str">
        <v>investment.risks</v>
      </c>
      <c r="B151" s="87">
        <v>66</v>
      </c>
      <c r="G151" s="87">
        <v>0</v>
      </c>
      <c r="H151" s="87" t="str">
        <v/>
      </c>
    </row>
    <row r="152" spans="1:8" x14ac:dyDescent="0.2">
      <c r="A152" s="87" t="str">
        <v>socially conscious mutual funds</v>
      </c>
      <c r="B152" s="87">
        <v>90</v>
      </c>
      <c r="G152" s="87">
        <v>0</v>
      </c>
      <c r="H152" s="87" t="str">
        <v/>
      </c>
    </row>
    <row r="153" spans="1:8" x14ac:dyDescent="0.2">
      <c r="A153" s="87" t="str">
        <v>money trouble</v>
      </c>
      <c r="B153" s="87">
        <v>88</v>
      </c>
      <c r="G153" s="87">
        <v>0</v>
      </c>
      <c r="H153" s="87" t="str">
        <v/>
      </c>
    </row>
    <row r="154" spans="1:8" x14ac:dyDescent="0.2">
      <c r="A154" s="91" t="str">
        <v>moneychimp.com</v>
      </c>
      <c r="B154" s="87">
        <v>90</v>
      </c>
      <c r="G154" s="87">
        <v>0</v>
      </c>
      <c r="H154" s="87" t="str">
        <v/>
      </c>
    </row>
    <row r="155" spans="1:8" x14ac:dyDescent="0.2">
      <c r="A155" s="87" t="str">
        <v>who's on the twenty dollar bill</v>
      </c>
      <c r="B155" s="87">
        <v>94</v>
      </c>
      <c r="G155" s="87">
        <v>0</v>
      </c>
      <c r="H155" s="87" t="str">
        <v/>
      </c>
    </row>
    <row r="156" spans="1:8" x14ac:dyDescent="0.2">
      <c r="A156" s="87" t="str">
        <v>wealth management fees comparison</v>
      </c>
      <c r="B156" s="87" t="str">
        <v/>
      </c>
      <c r="G156" s="87">
        <v>0</v>
      </c>
      <c r="H156" s="87" t="str">
        <v/>
      </c>
    </row>
    <row r="157" spans="1:8" x14ac:dyDescent="0.2">
      <c r="A157" s="87" t="str">
        <v>investment management vs wealth management</v>
      </c>
      <c r="B157" s="87" t="str">
        <v/>
      </c>
      <c r="G157" s="87">
        <v>0</v>
      </c>
      <c r="H157" s="87" t="str">
        <v/>
      </c>
    </row>
    <row r="158" spans="1:8" x14ac:dyDescent="0.2">
      <c r="A158" s="87" t="str">
        <v>money management firms</v>
      </c>
      <c r="B158" s="87" t="str">
        <v/>
      </c>
      <c r="G158" s="87">
        <v>0</v>
      </c>
      <c r="H158" s="87" t="str">
        <v/>
      </c>
    </row>
    <row r="159" spans="1:8" x14ac:dyDescent="0.2">
      <c r="A159" s="87" t="str">
        <v>investment ABC</v>
      </c>
      <c r="B159" s="87">
        <v>8</v>
      </c>
      <c r="G159" s="87">
        <v>0</v>
      </c>
      <c r="H159" s="87" t="str">
        <v/>
      </c>
    </row>
    <row r="160" spans="1:8" x14ac:dyDescent="0.2">
      <c r="A160" s="87" t="str">
        <v>john vanderpoel</v>
      </c>
      <c r="B160" s="87">
        <v>18</v>
      </c>
      <c r="G160" s="87">
        <v>0</v>
      </c>
      <c r="H160" s="87" t="str">
        <v/>
      </c>
    </row>
    <row r="161" spans="1:8" x14ac:dyDescent="0.2">
      <c r="A161" s="87" t="str">
        <v>lake minnetonka triathlon</v>
      </c>
      <c r="B161" s="87">
        <v>22</v>
      </c>
      <c r="G161" s="87">
        <v>0</v>
      </c>
      <c r="H161" s="87" t="str">
        <v/>
      </c>
    </row>
    <row r="162" spans="1:8" x14ac:dyDescent="0.2">
      <c r="A162" s="87" t="str">
        <v>merrill lynch wayzata</v>
      </c>
      <c r="B162" s="87">
        <v>58</v>
      </c>
      <c r="G162" s="87">
        <v>0</v>
      </c>
      <c r="H162" s="87" t="str">
        <v/>
      </c>
    </row>
    <row r="163" spans="1:8" x14ac:dyDescent="0.2">
      <c r="A163" s="87" t="str">
        <v>Example planning vs wealth management</v>
      </c>
      <c r="B163" s="87" t="str">
        <v/>
      </c>
      <c r="G163" s="87">
        <v>0</v>
      </c>
      <c r="H163" s="87" t="str">
        <v/>
      </c>
    </row>
    <row r="164" spans="1:8" x14ac:dyDescent="0.2">
      <c r="A164" s="87" t="str">
        <v>investment management vs investment banking</v>
      </c>
      <c r="B164" s="87" t="str">
        <v/>
      </c>
      <c r="G164" s="87">
        <v>0</v>
      </c>
      <c r="H164" s="87" t="str">
        <v/>
      </c>
    </row>
    <row r="165" spans="1:8" x14ac:dyDescent="0.2">
      <c r="A165" s="87" t="str">
        <v>investment firms minneapolis</v>
      </c>
      <c r="B165" s="87" t="str">
        <v/>
      </c>
      <c r="G165" s="87">
        <v>0</v>
      </c>
      <c r="H165" s="87" t="str">
        <v/>
      </c>
    </row>
    <row r="166" spans="1:8" x14ac:dyDescent="0.2">
      <c r="A166" s="87" t="str">
        <v>which phrase defines gross domestic product (gdp)?</v>
      </c>
      <c r="B166" s="87">
        <v>40</v>
      </c>
      <c r="G166" s="87">
        <v>0</v>
      </c>
      <c r="H166" s="87" t="str">
        <v/>
      </c>
    </row>
    <row r="167" spans="1:8" x14ac:dyDescent="0.2">
      <c r="A167" s="87" t="str">
        <v>at risk investment</v>
      </c>
      <c r="B167" s="87">
        <v>97</v>
      </c>
      <c r="G167" s="87">
        <v>0</v>
      </c>
      <c r="H167" s="87" t="str">
        <v/>
      </c>
    </row>
    <row r="168" spans="1:8" x14ac:dyDescent="0.2">
      <c r="A168" s="87" t="str">
        <v>best wealth management books</v>
      </c>
      <c r="B168" s="87" t="str">
        <v/>
      </c>
      <c r="G168" s="87">
        <v>0</v>
      </c>
      <c r="H168" s="87" t="str">
        <v/>
      </c>
    </row>
    <row r="169" spans="1:8" x14ac:dyDescent="0.2">
      <c r="A169" s="87" t="str">
        <v>medigap ABC</v>
      </c>
      <c r="B169" s="87">
        <v>13</v>
      </c>
      <c r="G169" s="87">
        <v>0</v>
      </c>
      <c r="H169" s="87" t="str">
        <v/>
      </c>
    </row>
    <row r="170" spans="1:8" x14ac:dyDescent="0.2">
      <c r="A170" s="87" t="str">
        <v>still ABC</v>
      </c>
      <c r="B170" s="87">
        <v>52</v>
      </c>
      <c r="G170" s="87">
        <v>0</v>
      </c>
      <c r="H170" s="87" t="str">
        <v/>
      </c>
    </row>
    <row r="171" spans="1:8" x14ac:dyDescent="0.2">
      <c r="A171" s="87" t="str">
        <v>how do income tax brackets work</v>
      </c>
      <c r="B171" s="87">
        <v>56</v>
      </c>
      <c r="G171" s="87">
        <v>0</v>
      </c>
      <c r="H171" s="87" t="str">
        <v/>
      </c>
    </row>
    <row r="172" spans="1:8" x14ac:dyDescent="0.2">
      <c r="A172" s="87" t="str">
        <v>what is pay yourself first</v>
      </c>
      <c r="B172" s="87">
        <v>66</v>
      </c>
      <c r="G172" s="87">
        <v>0</v>
      </c>
      <c r="H172" s="87" t="str">
        <v/>
      </c>
    </row>
    <row r="173" spans="1:8" x14ac:dyDescent="0.2">
      <c r="A173" s="87" t="str">
        <v>estate sales minnetonka</v>
      </c>
      <c r="B173" s="87">
        <v>85</v>
      </c>
      <c r="G173" s="87">
        <v>0</v>
      </c>
      <c r="H173" s="87" t="str">
        <v/>
      </c>
    </row>
    <row r="174" spans="1:8" x14ac:dyDescent="0.2">
      <c r="A174" s="87" t="str">
        <v>income shifting strategies</v>
      </c>
      <c r="B174" s="87">
        <v>90</v>
      </c>
      <c r="G174" s="87">
        <v>0</v>
      </c>
      <c r="H174" s="87" t="str">
        <v/>
      </c>
    </row>
    <row r="175" spans="1:8" x14ac:dyDescent="0.2">
      <c r="A175" s="87" t="str">
        <v>lp Example inc</v>
      </c>
      <c r="B175" s="87" t="str">
        <v/>
      </c>
      <c r="G175" s="87">
        <v>0</v>
      </c>
      <c r="H175" s="87" t="str">
        <v/>
      </c>
    </row>
    <row r="176" spans="1:8" x14ac:dyDescent="0.2">
      <c r="A176" s="87" t="str">
        <v>when is the deadline for employers to send w2</v>
      </c>
      <c r="B176" s="87">
        <v>96</v>
      </c>
      <c r="G176" s="87">
        <v>0</v>
      </c>
      <c r="H176" s="87" t="str">
        <v/>
      </c>
    </row>
    <row r="177" spans="1:8" x14ac:dyDescent="0.2">
      <c r="A177" s="87" t="str">
        <v>when conducting a Example analysis for retirement planning, you should review</v>
      </c>
      <c r="B177" s="87" t="str">
        <v/>
      </c>
      <c r="G177" s="87">
        <v>0</v>
      </c>
      <c r="H177" s="87" t="str">
        <v/>
      </c>
    </row>
    <row r="178" spans="1:8" x14ac:dyDescent="0.2">
      <c r="A178" s="87" t="str">
        <v>wealth management fee comparison</v>
      </c>
      <c r="B178" s="87" t="str">
        <v/>
      </c>
      <c r="G178" s="87">
        <v>0</v>
      </c>
      <c r="H178" s="87" t="str">
        <v/>
      </c>
    </row>
    <row r="179" spans="1:8" x14ac:dyDescent="0.2">
      <c r="A179" s="87" t="str">
        <v>advisor ABC</v>
      </c>
      <c r="B179" s="87">
        <v>36</v>
      </c>
      <c r="G179" s="87">
        <v>0</v>
      </c>
      <c r="H179" s="87" t="str">
        <v/>
      </c>
    </row>
    <row r="180" spans="1:8" x14ac:dyDescent="0.2">
      <c r="A180" s="87" t="str">
        <v>ABC insurance company</v>
      </c>
      <c r="B180" s="87">
        <v>32</v>
      </c>
      <c r="G180" s="87">
        <v>0</v>
      </c>
      <c r="H180" s="87" t="str">
        <v/>
      </c>
    </row>
    <row r="181" spans="1:8" x14ac:dyDescent="0.2">
      <c r="A181" s="87" t="str">
        <v>withers llc</v>
      </c>
      <c r="B181" s="87">
        <v>48</v>
      </c>
      <c r="G181" s="87">
        <v>0</v>
      </c>
      <c r="H181" s="87" t="str">
        <v/>
      </c>
    </row>
    <row r="182" spans="1:8" x14ac:dyDescent="0.2">
      <c r="A182" s="87" t="str">
        <v>ubs wayzata</v>
      </c>
      <c r="B182" s="87">
        <v>71</v>
      </c>
      <c r="G182" s="87">
        <v>0</v>
      </c>
      <c r="H182" s="87" t="str">
        <v/>
      </c>
    </row>
    <row r="183" spans="1:8" x14ac:dyDescent="0.2">
      <c r="A183" s="87" t="str">
        <v>what is the purpose of income taxes</v>
      </c>
      <c r="B183" s="87">
        <v>82</v>
      </c>
      <c r="G183" s="87">
        <v>0</v>
      </c>
      <c r="H183" s="87" t="str">
        <v/>
      </c>
    </row>
    <row r="184" spans="1:8" x14ac:dyDescent="0.2">
      <c r="A184" s="87" t="str">
        <v>top wealth management company</v>
      </c>
      <c r="B184" s="87" t="str">
        <v/>
      </c>
      <c r="G184" s="87">
        <v>0</v>
      </c>
      <c r="H184" s="87" t="str">
        <v/>
      </c>
    </row>
    <row r="185" spans="1:8" x14ac:dyDescent="0.2">
      <c r="A185" s="87" t="str">
        <v>best wealth management banks</v>
      </c>
      <c r="B185" s="87" t="str">
        <v/>
      </c>
      <c r="G185" s="87">
        <v>0</v>
      </c>
      <c r="H185" s="87" t="str">
        <v/>
      </c>
    </row>
    <row r="186" spans="1:8" x14ac:dyDescent="0.2">
      <c r="A186" s="87" t="str">
        <v>best wealth management companies</v>
      </c>
      <c r="B186" s="87" t="str">
        <v/>
      </c>
      <c r="G186" s="87">
        <v>0</v>
      </c>
      <c r="H186" s="87" t="str">
        <v/>
      </c>
    </row>
    <row r="187" spans="1:8" x14ac:dyDescent="0.2">
      <c r="A187" s="87" t="str">
        <v>Example Business literacy</v>
      </c>
      <c r="B187" s="87" t="str">
        <v/>
      </c>
      <c r="G187" s="87">
        <v>0</v>
      </c>
      <c r="H187" s="87" t="str">
        <v/>
      </c>
    </row>
    <row r="188" spans="1:8" x14ac:dyDescent="0.2">
      <c r="A188" s="87" t="str">
        <v>family planning enhanced fallout 4</v>
      </c>
      <c r="B188" s="87">
        <v>59</v>
      </c>
      <c r="G188" s="87">
        <v>0</v>
      </c>
      <c r="H188" s="87" t="str">
        <v/>
      </c>
    </row>
    <row r="189" spans="1:8" x14ac:dyDescent="0.2">
      <c r="A189" s="87" t="str">
        <v>who is mike rogers</v>
      </c>
      <c r="B189" s="87">
        <v>60</v>
      </c>
      <c r="G189" s="87">
        <v>0</v>
      </c>
      <c r="H189" s="87" t="str">
        <v/>
      </c>
    </row>
    <row r="190" spans="1:8" x14ac:dyDescent="0.2">
      <c r="A190" s="87" t="str">
        <v>merrill lynch minneapolis</v>
      </c>
      <c r="B190" s="87">
        <v>61</v>
      </c>
      <c r="G190" s="87">
        <v>0</v>
      </c>
      <c r="H190" s="87" t="str">
        <v/>
      </c>
    </row>
    <row r="191" spans="1:8" x14ac:dyDescent="0.2">
      <c r="A191" s="87" t="str">
        <v>reside at 849</v>
      </c>
      <c r="B191" s="87">
        <v>60</v>
      </c>
      <c r="G191" s="87">
        <v>0</v>
      </c>
      <c r="H191" s="87" t="str">
        <v/>
      </c>
    </row>
    <row r="192" spans="1:8" x14ac:dyDescent="0.2">
      <c r="A192" s="87" t="str">
        <v>capital alliance Example</v>
      </c>
      <c r="B192" s="87" t="str">
        <v/>
      </c>
      <c r="G192" s="87">
        <v>0</v>
      </c>
      <c r="H192" s="87" t="str">
        <v/>
      </c>
    </row>
    <row r="193" spans="1:8" x14ac:dyDescent="0.2">
      <c r="A193" s="87" t="str">
        <v>evolution finance inc</v>
      </c>
      <c r="B193" s="87">
        <v>74</v>
      </c>
      <c r="G193" s="87">
        <v>0</v>
      </c>
      <c r="H193" s="87" t="str">
        <v/>
      </c>
    </row>
    <row r="194" spans="1:8" x14ac:dyDescent="0.2">
      <c r="A194" s="87" t="str">
        <v>the twenty dollar bill</v>
      </c>
      <c r="B194" s="87">
        <v>80</v>
      </c>
      <c r="G194" s="87">
        <v>0</v>
      </c>
      <c r="H194" s="87" t="str">
        <v/>
      </c>
    </row>
    <row r="195" spans="1:8" x14ac:dyDescent="0.2">
      <c r="A195" s="87" t="str">
        <v>tariff means</v>
      </c>
      <c r="B195" s="87">
        <v>90</v>
      </c>
      <c r="G195" s="87">
        <v>0</v>
      </c>
      <c r="H195" s="87" t="str">
        <v/>
      </c>
    </row>
    <row r="196" spans="1:8" x14ac:dyDescent="0.2">
      <c r="A196" s="87" t="str">
        <v>alternative investment management association</v>
      </c>
      <c r="B196" s="87" t="str">
        <v/>
      </c>
      <c r="G196" s="87">
        <v>0</v>
      </c>
      <c r="H196" s="87" t="str">
        <v/>
      </c>
    </row>
    <row r="197" spans="1:8" x14ac:dyDescent="0.2">
      <c r="A197" s="87" t="str">
        <v>best private wealth management firms</v>
      </c>
      <c r="B197" s="87" t="str">
        <v/>
      </c>
      <c r="G197" s="87">
        <v>0</v>
      </c>
      <c r="H197" s="87" t="str">
        <v/>
      </c>
    </row>
    <row r="198" spans="1:8" x14ac:dyDescent="0.2">
      <c r="A198" s="87" t="str">
        <v>best bank for wealth management</v>
      </c>
      <c r="B198" s="87" t="str">
        <v/>
      </c>
      <c r="G198" s="87">
        <v>0</v>
      </c>
      <c r="H198" s="87" t="str">
        <v/>
      </c>
    </row>
    <row r="199" spans="1:8" x14ac:dyDescent="0.2">
      <c r="A199" s="87" t="str">
        <v>rob withers</v>
      </c>
      <c r="B199" s="87">
        <v>8</v>
      </c>
      <c r="G199" s="87">
        <v>0</v>
      </c>
      <c r="H199" s="87" t="str">
        <v/>
      </c>
    </row>
    <row r="200" spans="1:8" x14ac:dyDescent="0.2">
      <c r="A200" s="87" t="str">
        <v>variable morgage</v>
      </c>
      <c r="B200" s="87">
        <v>21</v>
      </c>
      <c r="G200" s="87">
        <v>0</v>
      </c>
      <c r="H200" s="87" t="str">
        <v/>
      </c>
    </row>
    <row r="201" spans="1:8" x14ac:dyDescent="0.2">
      <c r="A201" s="87" t="str">
        <v>price wealth management</v>
      </c>
      <c r="B201" s="87" t="str">
        <v/>
      </c>
      <c r="G201" s="87">
        <v>0</v>
      </c>
      <c r="H201" s="87" t="str">
        <v/>
      </c>
    </row>
    <row r="202" spans="1:8" x14ac:dyDescent="0.2">
      <c r="A202" s="87" t="str">
        <v>best wealth management firms to work for</v>
      </c>
      <c r="B202" s="87" t="str">
        <v/>
      </c>
      <c r="G202" s="87">
        <v>0</v>
      </c>
      <c r="H202" s="87" t="str">
        <v/>
      </c>
    </row>
    <row r="203" spans="1:8" x14ac:dyDescent="0.2">
      <c r="A203" s="87" t="str">
        <v>best investment management companies</v>
      </c>
      <c r="B203" s="87" t="str">
        <v/>
      </c>
      <c r="G203" s="87">
        <v>0</v>
      </c>
      <c r="H203" s="87" t="str">
        <v/>
      </c>
    </row>
    <row r="204" spans="1:8" x14ac:dyDescent="0.2">
      <c r="A204" s="87" t="str">
        <v>best books on estate planning</v>
      </c>
      <c r="B204" s="87" t="str">
        <v/>
      </c>
      <c r="G204" s="87">
        <v>0</v>
      </c>
      <c r="H204" s="87" t="str">
        <v/>
      </c>
    </row>
    <row r="205" spans="1:8" x14ac:dyDescent="0.2">
      <c r="A205" s="87" t="str">
        <v>ABC investments</v>
      </c>
      <c r="B205" s="87">
        <v>3</v>
      </c>
      <c r="G205" s="87">
        <v>0</v>
      </c>
      <c r="H205" s="87" t="str">
        <v/>
      </c>
    </row>
    <row r="206" spans="1:8" x14ac:dyDescent="0.2">
      <c r="A206" s="87" t="str">
        <v>rogers Example</v>
      </c>
      <c r="B206" s="87" t="str">
        <v/>
      </c>
      <c r="G206" s="87">
        <v>0</v>
      </c>
      <c r="H206" s="87" t="str">
        <v/>
      </c>
    </row>
    <row r="207" spans="1:8" x14ac:dyDescent="0.2">
      <c r="A207" s="87" t="str">
        <v>ABC investor</v>
      </c>
      <c r="B207" s="87">
        <v>25</v>
      </c>
      <c r="G207" s="87">
        <v>0</v>
      </c>
      <c r="H207" s="87" t="str">
        <v/>
      </c>
    </row>
    <row r="208" spans="1:8" x14ac:dyDescent="0.2">
      <c r="A208" s="87" t="str">
        <v>morgan stanley wayzata</v>
      </c>
      <c r="B208" s="87">
        <v>52</v>
      </c>
      <c r="G208" s="87">
        <v>0</v>
      </c>
      <c r="H208" s="87" t="str">
        <v/>
      </c>
    </row>
    <row r="209" spans="1:8" x14ac:dyDescent="0.2">
      <c r="A209" s="87" t="str">
        <v>file ABC</v>
      </c>
      <c r="B209" s="87">
        <v>65</v>
      </c>
      <c r="G209" s="87">
        <v>0</v>
      </c>
      <c r="H209" s="87" t="str">
        <v/>
      </c>
    </row>
    <row r="210" spans="1:8" x14ac:dyDescent="0.2">
      <c r="A210" s="87" t="str">
        <v>how many 20 dollar bills in a bundle</v>
      </c>
      <c r="B210" s="87">
        <v>69</v>
      </c>
      <c r="G210" s="87">
        <v>0</v>
      </c>
      <c r="H210" s="87" t="str">
        <v/>
      </c>
    </row>
    <row r="211" spans="1:8" x14ac:dyDescent="0.2">
      <c r="A211" s="87" t="str">
        <v>retirement services minneapolis mn</v>
      </c>
      <c r="B211" s="87">
        <v>68</v>
      </c>
      <c r="G211" s="87">
        <v>0</v>
      </c>
      <c r="H211" s="87" t="str">
        <v/>
      </c>
    </row>
    <row r="212" spans="1:8" x14ac:dyDescent="0.2">
      <c r="A212" s="87" t="str">
        <v>truenorth capital</v>
      </c>
      <c r="B212" s="87">
        <v>73</v>
      </c>
      <c r="G212" s="87">
        <v>0</v>
      </c>
      <c r="H212" s="87" t="str">
        <v/>
      </c>
    </row>
    <row r="213" spans="1:8" x14ac:dyDescent="0.2">
      <c r="A213" s="87" t="str">
        <v>top 10 wealth management firms</v>
      </c>
      <c r="B213" s="87" t="str">
        <v/>
      </c>
      <c r="G213" s="87">
        <v>0</v>
      </c>
      <c r="H213" s="87" t="str">
        <v/>
      </c>
    </row>
    <row r="214" spans="1:8" x14ac:dyDescent="0.2">
      <c r="A214" s="87" t="str">
        <v>top private wealth management firms</v>
      </c>
      <c r="B214" s="87" t="str">
        <v/>
      </c>
      <c r="G214" s="87">
        <v>0</v>
      </c>
      <c r="H214" s="87" t="str">
        <v/>
      </c>
    </row>
    <row r="215" spans="1:8" x14ac:dyDescent="0.2">
      <c r="A215" s="87" t="str">
        <v>top wealth management companies</v>
      </c>
      <c r="B215" s="87" t="str">
        <v/>
      </c>
      <c r="G215" s="87">
        <v>0</v>
      </c>
      <c r="H215" s="87" t="str">
        <v/>
      </c>
    </row>
    <row r="216" spans="1:8" x14ac:dyDescent="0.2">
      <c r="A216" s="87" t="str">
        <v>best investment management company</v>
      </c>
      <c r="B216" s="87" t="str">
        <v/>
      </c>
      <c r="G216" s="87">
        <v>0</v>
      </c>
      <c r="H216" s="87" t="str">
        <v/>
      </c>
    </row>
    <row r="217" spans="1:8" x14ac:dyDescent="0.2">
      <c r="A217" s="87" t="str">
        <v>top wealth management</v>
      </c>
      <c r="B217" s="87" t="str">
        <v/>
      </c>
      <c r="G217" s="87">
        <v>0</v>
      </c>
      <c r="H217" s="87" t="str">
        <v/>
      </c>
    </row>
    <row r="218" spans="1:8" x14ac:dyDescent="0.2">
      <c r="A218" s="87" t="str">
        <v>an economy is said to be in a recession if gdp declines for two or more consecutive quarters.</v>
      </c>
      <c r="B218" s="87">
        <v>30</v>
      </c>
      <c r="G218" s="87">
        <v>0</v>
      </c>
      <c r="H218" s="87" t="str">
        <v/>
      </c>
    </row>
    <row r="219" spans="1:8" x14ac:dyDescent="0.2">
      <c r="A219" s="87" t="str">
        <v>ABC training basset</v>
      </c>
      <c r="B219" s="87">
        <v>60</v>
      </c>
      <c r="G219" s="87">
        <v>0</v>
      </c>
      <c r="H219" s="87" t="str">
        <v/>
      </c>
    </row>
    <row r="220" spans="1:8" x14ac:dyDescent="0.2">
      <c r="A220" s="87" t="str">
        <v>global fund definition</v>
      </c>
      <c r="B220" s="87">
        <v>79</v>
      </c>
      <c r="G220" s="87">
        <v>0</v>
      </c>
      <c r="H220" s="87" t="str">
        <v/>
      </c>
    </row>
    <row r="221" spans="1:8" x14ac:dyDescent="0.2">
      <c r="A221" s="87" t="str">
        <v>alternative investment management llc</v>
      </c>
      <c r="B221" s="87" t="str">
        <v/>
      </c>
      <c r="G221" s="87">
        <v>0</v>
      </c>
      <c r="H221" s="87" t="str">
        <v/>
      </c>
    </row>
    <row r="222" spans="1:8" x14ac:dyDescent="0.2">
      <c r="A222" s="87" t="str">
        <v>best online estate planning</v>
      </c>
      <c r="B222" s="87" t="str">
        <v/>
      </c>
      <c r="G222" s="87">
        <v>0</v>
      </c>
      <c r="H222" s="87" t="str">
        <v/>
      </c>
    </row>
    <row r="223" spans="1:8" x14ac:dyDescent="0.2">
      <c r="A223" s="87" t="str">
        <v>smart401k login</v>
      </c>
      <c r="B223" s="87">
        <v>22</v>
      </c>
      <c r="G223" s="87">
        <v>0</v>
      </c>
      <c r="H223" s="87" t="str">
        <v/>
      </c>
    </row>
    <row r="224" spans="1:8" x14ac:dyDescent="0.2">
      <c r="A224" s="87" t="str">
        <v>rate ABC</v>
      </c>
      <c r="B224" s="87">
        <v>50</v>
      </c>
      <c r="G224" s="87">
        <v>0</v>
      </c>
      <c r="H224" s="87" t="str">
        <v/>
      </c>
    </row>
    <row r="225" spans="1:8" x14ac:dyDescent="0.2">
      <c r="A225" s="87" t="str">
        <v>j ABC</v>
      </c>
      <c r="B225" s="87">
        <v>60</v>
      </c>
      <c r="G225" s="87">
        <v>0</v>
      </c>
      <c r="H225" s="87" t="str">
        <v/>
      </c>
    </row>
    <row r="226" spans="1:8" x14ac:dyDescent="0.2">
      <c r="A226" s="87" t="str">
        <v>rebalancing your portfolio</v>
      </c>
      <c r="B226" s="87">
        <v>69</v>
      </c>
      <c r="G226" s="87">
        <v>0</v>
      </c>
      <c r="H226" s="87" t="str">
        <v/>
      </c>
    </row>
    <row r="227" spans="1:8" x14ac:dyDescent="0.2">
      <c r="A227" s="87" t="str">
        <v>ABC mortgage payment</v>
      </c>
      <c r="B227" s="87">
        <v>93</v>
      </c>
      <c r="G227" s="87">
        <v>0</v>
      </c>
      <c r="H227" s="87" t="str">
        <v/>
      </c>
    </row>
    <row r="228" spans="1:8" x14ac:dyDescent="0.2">
      <c r="A228" s="87" t="str">
        <v>big picture planning</v>
      </c>
      <c r="B228" s="87">
        <v>97</v>
      </c>
      <c r="G228" s="87">
        <v>0</v>
      </c>
      <c r="H228" s="87" t="str">
        <v/>
      </c>
    </row>
    <row r="229" spans="1:8" x14ac:dyDescent="0.2">
      <c r="A229" s="87" t="str">
        <v>portfolio ABC</v>
      </c>
      <c r="B229" s="87">
        <v>37</v>
      </c>
      <c r="G229" s="87">
        <v>0</v>
      </c>
      <c r="H229" s="87" t="str">
        <v/>
      </c>
    </row>
    <row r="230" spans="1:8" x14ac:dyDescent="0.2">
      <c r="A230" s="87" t="str">
        <v>active vs passive investment management</v>
      </c>
      <c r="B230" s="87" t="str">
        <v/>
      </c>
      <c r="G230" s="87">
        <v>0</v>
      </c>
      <c r="H230" s="87" t="str">
        <v/>
      </c>
    </row>
    <row r="231" spans="1:8" x14ac:dyDescent="0.2">
      <c r="A231" s="87" t="str">
        <v>best banks for wealth management</v>
      </c>
      <c r="B231" s="87" t="str">
        <v/>
      </c>
      <c r="G231" s="87">
        <v>0</v>
      </c>
      <c r="H231" s="87" t="str">
        <v/>
      </c>
    </row>
    <row r="232" spans="1:8" x14ac:dyDescent="0.2">
      <c r="A232" s="87" t="str">
        <v>best companies for wealth management</v>
      </c>
      <c r="B232" s="87" t="str">
        <v/>
      </c>
      <c r="G232" s="87">
        <v>0</v>
      </c>
      <c r="H232" s="87" t="str">
        <v/>
      </c>
    </row>
    <row r="233" spans="1:8" x14ac:dyDescent="0.2">
      <c r="A233" s="87" t="str">
        <v>best wealth management apps</v>
      </c>
      <c r="B233" s="87" t="str">
        <v/>
      </c>
      <c r="G233" s="87">
        <v>0</v>
      </c>
      <c r="H233" s="87" t="str">
        <v/>
      </c>
    </row>
    <row r="234" spans="1:8" x14ac:dyDescent="0.2">
      <c r="A234" s="87" t="str">
        <v>best wealth management company</v>
      </c>
      <c r="B234" s="87" t="str">
        <v/>
      </c>
      <c r="G234" s="87">
        <v>0</v>
      </c>
      <c r="H234" s="87" t="str">
        <v/>
      </c>
    </row>
    <row r="235" spans="1:8" x14ac:dyDescent="0.2">
      <c r="A235" s="87" t="str">
        <v>minnetonka triathlon</v>
      </c>
      <c r="B235" s="87">
        <v>20</v>
      </c>
      <c r="G235" s="87">
        <v>0</v>
      </c>
      <c r="H235" s="87" t="str">
        <v/>
      </c>
    </row>
    <row r="236" spans="1:8" x14ac:dyDescent="0.2">
      <c r="A236" s="87" t="str">
        <v>rogers Example group</v>
      </c>
      <c r="B236" s="87" t="str">
        <v/>
      </c>
      <c r="G236" s="87">
        <v>0</v>
      </c>
      <c r="H236" s="87" t="str">
        <v/>
      </c>
    </row>
    <row r="237" spans="1:8" x14ac:dyDescent="0.2">
      <c r="A237" s="87" t="str">
        <v>info ABC</v>
      </c>
      <c r="B237" s="87">
        <v>42</v>
      </c>
      <c r="G237" s="87">
        <v>0</v>
      </c>
      <c r="H237" s="87" t="str">
        <v/>
      </c>
    </row>
    <row r="238" spans="1:8" x14ac:dyDescent="0.2">
      <c r="A238" s="87" t="str">
        <v>Example companies in minneapolis</v>
      </c>
      <c r="B238" s="87" t="str">
        <v/>
      </c>
      <c r="G238" s="87">
        <v>0</v>
      </c>
      <c r="H238" s="87" t="str">
        <v/>
      </c>
    </row>
    <row r="239" spans="1:8" x14ac:dyDescent="0.2">
      <c r="A239" s="91" t="str">
        <v>wwwABC.com</v>
      </c>
      <c r="B239" s="87">
        <v>76</v>
      </c>
      <c r="G239" s="87">
        <v>0</v>
      </c>
      <c r="H239" s="87" t="str">
        <v/>
      </c>
    </row>
    <row r="240" spans="1:8" x14ac:dyDescent="0.2">
      <c r="A240" s="87" t="str">
        <v>big puzzle net</v>
      </c>
      <c r="B240" s="87">
        <v>89</v>
      </c>
      <c r="G240" s="87">
        <v>0</v>
      </c>
      <c r="H240" s="87" t="str">
        <v/>
      </c>
    </row>
    <row r="241" spans="1:8" x14ac:dyDescent="0.2">
      <c r="A241" s="87" t="str">
        <v>wealth management review</v>
      </c>
      <c r="B241" s="87" t="str">
        <v/>
      </c>
      <c r="G241" s="87">
        <v>0</v>
      </c>
      <c r="H241" s="87" t="str">
        <v/>
      </c>
    </row>
    <row r="242" spans="1:8" x14ac:dyDescent="0.2">
      <c r="A242" s="87" t="str">
        <v>top investment management</v>
      </c>
      <c r="B242" s="87" t="str">
        <v/>
      </c>
      <c r="G242" s="87">
        <v>0</v>
      </c>
      <c r="H242" s="87" t="str">
        <v/>
      </c>
    </row>
    <row r="243" spans="1:8" x14ac:dyDescent="0.2">
      <c r="A243" s="87" t="str">
        <v>best retirement planning calculator</v>
      </c>
      <c r="B243" s="87" t="str">
        <v/>
      </c>
      <c r="G243" s="87">
        <v>0</v>
      </c>
      <c r="H243" s="87" t="str">
        <v/>
      </c>
    </row>
    <row r="244" spans="1:8" x14ac:dyDescent="0.2">
      <c r="A244" s="87" t="str">
        <v>best private wealth management</v>
      </c>
      <c r="B244" s="87" t="str">
        <v/>
      </c>
      <c r="G244" s="87">
        <v>0</v>
      </c>
      <c r="H244" s="87" t="str">
        <v/>
      </c>
    </row>
    <row r="245" spans="1:8" x14ac:dyDescent="0.2">
      <c r="A245" s="87" t="str">
        <v>fidelity private wealth management review</v>
      </c>
      <c r="B245" s="87" t="str">
        <v/>
      </c>
      <c r="G245" s="87">
        <v>0</v>
      </c>
      <c r="H245" s="87" t="str">
        <v/>
      </c>
    </row>
    <row r="246" spans="1:8" x14ac:dyDescent="0.2">
      <c r="A246" s="87" t="str">
        <v>wealth management mn</v>
      </c>
      <c r="B246" s="87" t="str">
        <v/>
      </c>
      <c r="G246" s="87">
        <v>0</v>
      </c>
      <c r="H246" s="87" t="str">
        <v/>
      </c>
    </row>
    <row r="247" spans="1:8" x14ac:dyDescent="0.2">
      <c r="A247" s="87" t="str">
        <v>predict election results</v>
      </c>
      <c r="B247" s="87">
        <v>30</v>
      </c>
      <c r="G247" s="87">
        <v>0</v>
      </c>
      <c r="H247" s="87" t="str">
        <v/>
      </c>
    </row>
    <row r="248" spans="1:8" x14ac:dyDescent="0.2">
      <c r="A248" s="87" t="str">
        <v>retirement planning images</v>
      </c>
      <c r="B248" s="87">
        <v>57</v>
      </c>
      <c r="G248" s="87">
        <v>0</v>
      </c>
      <c r="H248" s="87" t="str">
        <v/>
      </c>
    </row>
    <row r="249" spans="1:8" x14ac:dyDescent="0.2">
      <c r="A249" s="87" t="str">
        <v>my handy ABC</v>
      </c>
      <c r="B249" s="87">
        <v>63</v>
      </c>
      <c r="G249" s="87">
        <v>0</v>
      </c>
      <c r="H249" s="87" t="str">
        <v/>
      </c>
    </row>
    <row r="250" spans="1:8" x14ac:dyDescent="0.2">
      <c r="A250" s="87" t="str">
        <v>ABC analysis</v>
      </c>
      <c r="B250" s="87">
        <v>62</v>
      </c>
      <c r="G250" s="87">
        <v>0</v>
      </c>
      <c r="H250" s="87" t="str">
        <v/>
      </c>
    </row>
    <row r="251" spans="1:8" x14ac:dyDescent="0.2">
      <c r="A251" s="87" t="str">
        <v>socially responsible companies to invest in</v>
      </c>
      <c r="B251" s="87">
        <v>60</v>
      </c>
      <c r="G251" s="87">
        <v>0</v>
      </c>
      <c r="H251" s="87" t="str">
        <v/>
      </c>
    </row>
    <row r="252" spans="1:8" x14ac:dyDescent="0.2">
      <c r="A252" s="87" t="str">
        <v>davidson bookkeeping</v>
      </c>
      <c r="B252" s="87">
        <v>70</v>
      </c>
      <c r="G252" s="87">
        <v>0</v>
      </c>
      <c r="H252" s="87" t="str">
        <v/>
      </c>
    </row>
    <row r="253" spans="1:8" x14ac:dyDescent="0.2">
      <c r="A253" s="87" t="str">
        <v>freedom Example az</v>
      </c>
      <c r="B253" s="87" t="str">
        <v/>
      </c>
      <c r="G253" s="87">
        <v>0</v>
      </c>
      <c r="H253" s="87" t="str">
        <v/>
      </c>
    </row>
    <row r="254" spans="1:8" x14ac:dyDescent="0.2">
      <c r="A254" s="87" t="str">
        <v>tax planning strategies for individuals</v>
      </c>
      <c r="B254" s="87">
        <v>90</v>
      </c>
      <c r="G254" s="87">
        <v>0</v>
      </c>
      <c r="H254" s="87" t="str">
        <v/>
      </c>
    </row>
    <row r="255" spans="1:8" x14ac:dyDescent="0.2">
      <c r="A255" s="87" t="str">
        <v>whole life cash value chart</v>
      </c>
      <c r="B255" s="87">
        <v>93</v>
      </c>
      <c r="G255" s="87">
        <v>0</v>
      </c>
      <c r="H255" s="87" t="str">
        <v/>
      </c>
    </row>
    <row r="256" spans="1:8" x14ac:dyDescent="0.2">
      <c r="A256" s="87" t="str">
        <v>alternative asset investment management</v>
      </c>
      <c r="B256" s="87" t="str">
        <v/>
      </c>
      <c r="G256" s="87">
        <v>0</v>
      </c>
      <c r="H256" s="87" t="str">
        <v/>
      </c>
    </row>
    <row r="257" spans="1:8" x14ac:dyDescent="0.2">
      <c r="A257" s="87" t="str">
        <v>best wealth management websites</v>
      </c>
      <c r="B257" s="87" t="str">
        <v/>
      </c>
      <c r="G257" s="87">
        <v>0</v>
      </c>
      <c r="H257" s="87" t="str">
        <v/>
      </c>
    </row>
    <row r="258" spans="1:8" x14ac:dyDescent="0.2">
      <c r="A258" s="87" t="str">
        <v>best retirement planning tools</v>
      </c>
      <c r="B258" s="87" t="str">
        <v/>
      </c>
      <c r="G258" s="87">
        <v>0</v>
      </c>
      <c r="H258" s="87" t="str">
        <v/>
      </c>
    </row>
    <row r="259" spans="1:8" x14ac:dyDescent="0.2">
      <c r="A259" s="87" t="str">
        <v>wills vs trusts estate planning</v>
      </c>
      <c r="B259" s="87" t="str">
        <v/>
      </c>
      <c r="G259" s="87">
        <v>0</v>
      </c>
      <c r="H259" s="87" t="str">
        <v/>
      </c>
    </row>
    <row r="260" spans="1:8" x14ac:dyDescent="0.2">
      <c r="A260" s="87" t="str">
        <v>ABC net</v>
      </c>
      <c r="B260" s="87">
        <v>4</v>
      </c>
      <c r="G260" s="87">
        <v>0</v>
      </c>
      <c r="H260" s="87" t="str">
        <v/>
      </c>
    </row>
    <row r="261" spans="1:8" x14ac:dyDescent="0.2">
      <c r="A261" s="87" t="str">
        <v>mike rogers state street</v>
      </c>
      <c r="B261" s="87">
        <v>26</v>
      </c>
      <c r="G261" s="87">
        <v>0</v>
      </c>
      <c r="H261" s="87" t="str">
        <v/>
      </c>
    </row>
    <row r="262" spans="1:8" x14ac:dyDescent="0.2">
      <c r="A262" s="87" t="str">
        <v>lifespan of a 1 dollar bill</v>
      </c>
      <c r="B262" s="87">
        <v>32</v>
      </c>
      <c r="G262" s="87">
        <v>0</v>
      </c>
      <c r="H262" s="87" t="str">
        <v/>
      </c>
    </row>
    <row r="263" spans="1:8" x14ac:dyDescent="0.2">
      <c r="A263" s="87" t="str">
        <v>ABC divided by 50</v>
      </c>
      <c r="B263" s="87">
        <v>36</v>
      </c>
      <c r="G263" s="87">
        <v>0</v>
      </c>
      <c r="H263" s="87" t="str">
        <v/>
      </c>
    </row>
    <row r="264" spans="1:8" x14ac:dyDescent="0.2">
      <c r="A264" s="87" t="str">
        <v>bounce ABC</v>
      </c>
      <c r="B264" s="87">
        <v>56</v>
      </c>
      <c r="G264" s="87">
        <v>0</v>
      </c>
      <c r="H264" s="87" t="str">
        <v/>
      </c>
    </row>
    <row r="265" spans="1:8" x14ac:dyDescent="0.2">
      <c r="A265" s="87" t="str">
        <v>ABC service companies</v>
      </c>
      <c r="B265" s="87">
        <v>72</v>
      </c>
      <c r="G265" s="87">
        <v>0</v>
      </c>
      <c r="H265" s="87" t="str">
        <v/>
      </c>
    </row>
    <row r="266" spans="1:8" x14ac:dyDescent="0.2">
      <c r="A266" s="87" t="str">
        <v>retire early homepage</v>
      </c>
      <c r="B266" s="87">
        <v>76</v>
      </c>
      <c r="G266" s="87">
        <v>0</v>
      </c>
      <c r="H266" s="87" t="str">
        <v/>
      </c>
    </row>
    <row r="267" spans="1:8" x14ac:dyDescent="0.2">
      <c r="A267" s="87" t="str">
        <v>ABCiq</v>
      </c>
      <c r="B267" s="87">
        <v>85</v>
      </c>
      <c r="G267" s="87">
        <v>0</v>
      </c>
      <c r="H267" s="87" t="str">
        <v/>
      </c>
    </row>
    <row r="268" spans="1:8" x14ac:dyDescent="0.2">
      <c r="A268" s="87" t="str">
        <v>which is not a basic tax planning strategy</v>
      </c>
      <c r="B268" s="87">
        <v>82</v>
      </c>
      <c r="G268" s="87">
        <v>0</v>
      </c>
      <c r="H268" s="87" t="str">
        <v/>
      </c>
    </row>
    <row r="269" spans="1:8" x14ac:dyDescent="0.2">
      <c r="A269" s="87" t="str">
        <v>which of the following is not a self-employed retirement account?</v>
      </c>
      <c r="B269" s="87">
        <v>87</v>
      </c>
      <c r="G269" s="87">
        <v>0</v>
      </c>
      <c r="H269" s="87" t="str">
        <v/>
      </c>
    </row>
    <row r="270" spans="1:8" x14ac:dyDescent="0.2">
      <c r="A270" s="87" t="str">
        <v>5553 dan</v>
      </c>
      <c r="B270" s="87">
        <v>93</v>
      </c>
      <c r="G270" s="87">
        <v>0</v>
      </c>
      <c r="H270" s="87" t="str">
        <v/>
      </c>
    </row>
    <row r="271" spans="1:8" x14ac:dyDescent="0.2">
      <c r="A271" s="87" t="str">
        <v>income tax what is it</v>
      </c>
      <c r="B271" s="87">
        <v>99</v>
      </c>
      <c r="G271" s="87">
        <v>0</v>
      </c>
      <c r="H271" s="87" t="str">
        <v/>
      </c>
    </row>
    <row r="272" spans="1:8" x14ac:dyDescent="0.2">
      <c r="A272" s="87" t="str">
        <v>best retirement planning tool</v>
      </c>
      <c r="B272" s="87" t="str">
        <v/>
      </c>
      <c r="G272" s="87">
        <v>0</v>
      </c>
      <c r="H272" s="87" t="str">
        <v/>
      </c>
    </row>
    <row r="273" spans="1:8" x14ac:dyDescent="0.2">
      <c r="A273" s="87" t="str">
        <v>estate planning trust vs will</v>
      </c>
      <c r="B273" s="87" t="str">
        <v/>
      </c>
      <c r="G273" s="87">
        <v>0</v>
      </c>
      <c r="H273" s="87" t="str">
        <v/>
      </c>
    </row>
    <row r="274" spans="1:8" x14ac:dyDescent="0.2">
      <c r="A274" s="87" t="str">
        <v>estate planning will vs trust</v>
      </c>
      <c r="B274" s="87" t="str">
        <v/>
      </c>
      <c r="G274" s="87">
        <v>0</v>
      </c>
      <c r="H274" s="87" t="str">
        <v/>
      </c>
    </row>
    <row r="275" spans="1:8" x14ac:dyDescent="0.2">
      <c r="A275" s="87" t="str">
        <v>trust vs estate planning</v>
      </c>
      <c r="B275" s="87" t="str">
        <v/>
      </c>
      <c r="G275" s="87">
        <v>0</v>
      </c>
      <c r="H275" s="87" t="str">
        <v/>
      </c>
    </row>
    <row r="276" spans="1:8" x14ac:dyDescent="0.2">
      <c r="A276" s="87" t="str">
        <v>medicare ABC</v>
      </c>
      <c r="B276" s="87">
        <v>22</v>
      </c>
      <c r="G276" s="87">
        <v>0</v>
      </c>
      <c r="H276" s="87" t="str">
        <v/>
      </c>
    </row>
    <row r="277" spans="1:8" x14ac:dyDescent="0.2">
      <c r="A277" s="87" t="str">
        <v>ABC money</v>
      </c>
      <c r="B277" s="87">
        <v>28</v>
      </c>
      <c r="G277" s="87">
        <v>0</v>
      </c>
      <c r="H277" s="87" t="str">
        <v/>
      </c>
    </row>
    <row r="278" spans="1:8" x14ac:dyDescent="0.2">
      <c r="A278" s="87" t="str">
        <v>bolg ABC</v>
      </c>
      <c r="B278" s="87">
        <v>37</v>
      </c>
      <c r="G278" s="87">
        <v>0</v>
      </c>
      <c r="H278" s="87" t="str">
        <v/>
      </c>
    </row>
    <row r="279" spans="1:8" x14ac:dyDescent="0.2">
      <c r="A279" s="87" t="str">
        <v>tax bracket information</v>
      </c>
      <c r="B279" s="87">
        <v>41</v>
      </c>
      <c r="G279" s="87">
        <v>0</v>
      </c>
      <c r="H279" s="87" t="str">
        <v/>
      </c>
    </row>
    <row r="280" spans="1:8" x14ac:dyDescent="0.2">
      <c r="A280" s="87" t="str">
        <v>how do us taxes work</v>
      </c>
      <c r="B280" s="87">
        <v>77</v>
      </c>
      <c r="G280" s="87">
        <v>0</v>
      </c>
      <c r="H280" s="87" t="str">
        <v/>
      </c>
    </row>
    <row r="281" spans="1:8" x14ac:dyDescent="0.2">
      <c r="A281" s="87" t="str">
        <v>lpl Example aum</v>
      </c>
      <c r="B281" s="87" t="str">
        <v/>
      </c>
      <c r="G281" s="87">
        <v>0</v>
      </c>
      <c r="H281" s="87" t="str">
        <v/>
      </c>
    </row>
    <row r="282" spans="1:8" x14ac:dyDescent="0.2">
      <c r="A282" s="87" t="str">
        <v>whats an income tax</v>
      </c>
      <c r="B282" s="87">
        <v>89</v>
      </c>
      <c r="G282" s="87">
        <v>0</v>
      </c>
      <c r="H282" s="87" t="str">
        <v/>
      </c>
    </row>
    <row r="283" spans="1:8" x14ac:dyDescent="0.2">
      <c r="A283" s="87" t="str">
        <v>research ABC</v>
      </c>
      <c r="B283" s="87">
        <v>90</v>
      </c>
      <c r="G283" s="87">
        <v>0</v>
      </c>
      <c r="H283" s="87" t="str">
        <v/>
      </c>
    </row>
    <row r="284" spans="1:8" x14ac:dyDescent="0.2">
      <c r="A284" s="87" t="str">
        <v>how does tax work in america</v>
      </c>
      <c r="B284" s="87">
        <v>95</v>
      </c>
      <c r="G284" s="87">
        <v>0</v>
      </c>
      <c r="H284" s="87" t="str">
        <v/>
      </c>
    </row>
    <row r="285" spans="1:8" x14ac:dyDescent="0.2">
      <c r="A285" s="87" t="str">
        <v>wealth management vs private equity</v>
      </c>
      <c r="B285" s="87" t="str">
        <v/>
      </c>
      <c r="G285" s="87">
        <v>0</v>
      </c>
      <c r="H285" s="87" t="str">
        <v/>
      </c>
    </row>
    <row r="286" spans="1:8" x14ac:dyDescent="0.2">
      <c r="A286" s="87" t="str">
        <v>alternative investment management firms</v>
      </c>
      <c r="B286" s="87" t="str">
        <v/>
      </c>
      <c r="G286" s="87">
        <v>0</v>
      </c>
      <c r="H286" s="87" t="str">
        <v/>
      </c>
    </row>
    <row r="287" spans="1:8" x14ac:dyDescent="0.2">
      <c r="A287" s="87" t="str">
        <v>top rated wealth management firms</v>
      </c>
      <c r="B287" s="87" t="str">
        <v/>
      </c>
      <c r="G287" s="87">
        <v>0</v>
      </c>
      <c r="H287" s="87" t="str">
        <v/>
      </c>
    </row>
    <row r="288" spans="1:8" x14ac:dyDescent="0.2">
      <c r="A288" s="87" t="str">
        <v>estate planning minneapolis</v>
      </c>
      <c r="B288" s="87" t="str">
        <v/>
      </c>
      <c r="G288" s="87">
        <v>0</v>
      </c>
      <c r="H288" s="87" t="str">
        <v/>
      </c>
    </row>
    <row r="289" spans="1:8" x14ac:dyDescent="0.2">
      <c r="A289" s="87" t="str">
        <v>passive vs active investment management</v>
      </c>
      <c r="B289" s="87" t="str">
        <v/>
      </c>
      <c r="G289" s="87">
        <v>0</v>
      </c>
      <c r="H289" s="87" t="str">
        <v/>
      </c>
    </row>
    <row r="290" spans="1:8" x14ac:dyDescent="0.2">
      <c r="A290" s="87" t="str">
        <v>best estate planning</v>
      </c>
      <c r="B290" s="87" t="str">
        <v/>
      </c>
      <c r="G290" s="87">
        <v>0</v>
      </c>
      <c r="H290" s="87" t="str">
        <v/>
      </c>
    </row>
    <row r="291" spans="1:8" x14ac:dyDescent="0.2">
      <c r="A291" s="87" t="str">
        <v>estate planning wills vs trusts</v>
      </c>
      <c r="B291" s="87" t="str">
        <v/>
      </c>
      <c r="G291" s="87">
        <v>0</v>
      </c>
      <c r="H291" s="87" t="str">
        <v/>
      </c>
    </row>
    <row r="292" spans="1:8" x14ac:dyDescent="0.2">
      <c r="A292" s="87" t="str">
        <v>medicaid ABC</v>
      </c>
      <c r="B292" s="87">
        <v>11</v>
      </c>
      <c r="G292" s="87">
        <v>0</v>
      </c>
      <c r="H292" s="87" t="str">
        <v/>
      </c>
    </row>
    <row r="293" spans="1:8" x14ac:dyDescent="0.2">
      <c r="A293" s="87" t="str">
        <v>amy lemke</v>
      </c>
      <c r="B293" s="87">
        <v>3</v>
      </c>
      <c r="G293" s="87">
        <v>0</v>
      </c>
      <c r="H293" s="87" t="str">
        <v/>
      </c>
    </row>
    <row r="294" spans="1:8" x14ac:dyDescent="0.2">
      <c r="A294" s="87" t="str">
        <v>ABC your life</v>
      </c>
      <c r="B294" s="87">
        <v>33</v>
      </c>
      <c r="G294" s="87">
        <v>0</v>
      </c>
      <c r="H294" s="87" t="str">
        <v/>
      </c>
    </row>
    <row r="295" spans="1:8" x14ac:dyDescent="0.2">
      <c r="A295" s="87" t="str">
        <v>investment tax strategies</v>
      </c>
      <c r="B295" s="87">
        <v>33</v>
      </c>
      <c r="G295" s="87">
        <v>0</v>
      </c>
      <c r="H295" s="87" t="str">
        <v/>
      </c>
    </row>
    <row r="296" spans="1:8" x14ac:dyDescent="0.2">
      <c r="A296" s="87" t="str">
        <v>savers on lake street</v>
      </c>
      <c r="B296" s="87">
        <v>39</v>
      </c>
      <c r="G296" s="87">
        <v>0</v>
      </c>
      <c r="H296" s="87" t="str">
        <v/>
      </c>
    </row>
    <row r="297" spans="1:8" x14ac:dyDescent="0.2">
      <c r="A297" s="87" t="str">
        <v>merrill lynch wayzata mn</v>
      </c>
      <c r="B297" s="87">
        <v>39</v>
      </c>
      <c r="G297" s="87">
        <v>0</v>
      </c>
      <c r="H297" s="87" t="str">
        <v/>
      </c>
    </row>
    <row r="298" spans="1:8" x14ac:dyDescent="0.2">
      <c r="A298" s="87" t="str">
        <v>which of the following is not a type of company that a socially responsible investor would support?</v>
      </c>
      <c r="B298" s="87">
        <v>39</v>
      </c>
      <c r="G298" s="87">
        <v>0</v>
      </c>
      <c r="H298" s="87" t="str">
        <v/>
      </c>
    </row>
    <row r="299" spans="1:8" x14ac:dyDescent="0.2">
      <c r="A299" s="87" t="str">
        <v>blog ABC</v>
      </c>
      <c r="B299" s="87">
        <v>44</v>
      </c>
      <c r="G299" s="87">
        <v>0</v>
      </c>
      <c r="H299" s="87" t="str">
        <v/>
      </c>
    </row>
    <row r="300" spans="1:8" x14ac:dyDescent="0.2">
      <c r="A300" s="87" t="str">
        <v>dos/ABC</v>
      </c>
      <c r="B300" s="87">
        <v>50</v>
      </c>
      <c r="G300" s="87">
        <v>0</v>
      </c>
      <c r="H300" s="87" t="str">
        <v/>
      </c>
    </row>
    <row r="301" spans="1:8" x14ac:dyDescent="0.2">
      <c r="A301" s="87" t="str">
        <v>what is the average lifespan of a dollar bill</v>
      </c>
      <c r="B301" s="87">
        <v>51</v>
      </c>
      <c r="G301" s="87">
        <v>0</v>
      </c>
      <c r="H301" s="87" t="str">
        <v/>
      </c>
    </row>
    <row r="302" spans="1:8" x14ac:dyDescent="0.2">
      <c r="A302" s="87" t="str">
        <v>official definition of recession</v>
      </c>
      <c r="B302" s="87">
        <v>51</v>
      </c>
      <c r="G302" s="87">
        <v>0</v>
      </c>
      <c r="H302" s="87" t="str">
        <v/>
      </c>
    </row>
    <row r="303" spans="1:8" x14ac:dyDescent="0.2">
      <c r="A303" s="87" t="str">
        <v>ABC credit counseling</v>
      </c>
      <c r="B303" s="87">
        <v>54</v>
      </c>
      <c r="G303" s="87">
        <v>0</v>
      </c>
      <c r="H303" s="87" t="str">
        <v/>
      </c>
    </row>
    <row r="304" spans="1:8" x14ac:dyDescent="0.2">
      <c r="A304" s="87" t="str">
        <v>question about social security</v>
      </c>
      <c r="B304" s="87">
        <v>59</v>
      </c>
      <c r="G304" s="87">
        <v>0</v>
      </c>
      <c r="H304" s="87" t="str">
        <v/>
      </c>
    </row>
    <row r="305" spans="1:8" x14ac:dyDescent="0.2">
      <c r="A305" s="87" t="str">
        <v>what's ABC</v>
      </c>
      <c r="B305" s="87">
        <v>60</v>
      </c>
      <c r="G305" s="87">
        <v>0</v>
      </c>
      <c r="H305" s="87" t="str">
        <v/>
      </c>
    </row>
    <row r="306" spans="1:8" x14ac:dyDescent="0.2">
      <c r="A306" s="87" t="str">
        <v>life of a dollar bill</v>
      </c>
      <c r="B306" s="87">
        <v>63</v>
      </c>
      <c r="G306" s="87">
        <v>0</v>
      </c>
      <c r="H306" s="87" t="str">
        <v/>
      </c>
    </row>
    <row r="307" spans="1:8" x14ac:dyDescent="0.2">
      <c r="A307" s="87" t="str">
        <v>socially responsible investing examples</v>
      </c>
      <c r="B307" s="87">
        <v>73</v>
      </c>
      <c r="G307" s="87">
        <v>0</v>
      </c>
      <c r="H307" s="87" t="str">
        <v/>
      </c>
    </row>
    <row r="308" spans="1:8" x14ac:dyDescent="0.2">
      <c r="A308" s="87" t="str">
        <v>alliance ABC</v>
      </c>
      <c r="B308" s="87">
        <v>73</v>
      </c>
      <c r="G308" s="87">
        <v>0</v>
      </c>
      <c r="H308" s="87" t="str">
        <v/>
      </c>
    </row>
    <row r="309" spans="1:8" x14ac:dyDescent="0.2">
      <c r="A309" s="87" t="str">
        <v>personal tax planning software</v>
      </c>
      <c r="B309" s="87">
        <v>80</v>
      </c>
      <c r="G309" s="87">
        <v>0</v>
      </c>
      <c r="H309" s="87" t="str">
        <v/>
      </c>
    </row>
    <row r="310" spans="1:8" x14ac:dyDescent="0.2">
      <c r="A310" s="87" t="str">
        <v>big picture retirement</v>
      </c>
      <c r="B310" s="87">
        <v>77</v>
      </c>
      <c r="G310" s="87">
        <v>0</v>
      </c>
      <c r="H310" s="87" t="str">
        <v/>
      </c>
    </row>
    <row r="311" spans="1:8" x14ac:dyDescent="0.2">
      <c r="A311" s="87" t="str">
        <v>michael endall</v>
      </c>
      <c r="B311" s="87">
        <v>82</v>
      </c>
      <c r="G311" s="87">
        <v>0</v>
      </c>
      <c r="H311" s="87" t="str">
        <v/>
      </c>
    </row>
    <row r="312" spans="1:8" x14ac:dyDescent="0.2">
      <c r="A312" s="87" t="str">
        <v>big picture twin cities</v>
      </c>
      <c r="B312" s="87">
        <v>87</v>
      </c>
      <c r="G312" s="87">
        <v>0</v>
      </c>
      <c r="H312" s="87" t="str">
        <v/>
      </c>
    </row>
    <row r="313" spans="1:8" x14ac:dyDescent="0.2">
      <c r="A313" s="87" t="str">
        <v>the life of a dollar bill</v>
      </c>
      <c r="B313" s="87">
        <v>87</v>
      </c>
      <c r="G313" s="87">
        <v>0</v>
      </c>
      <c r="H313" s="87" t="str">
        <v/>
      </c>
    </row>
    <row r="314" spans="1:8" x14ac:dyDescent="0.2">
      <c r="A314" s="87" t="str">
        <v>picture plan</v>
      </c>
      <c r="B314" s="87">
        <v>90</v>
      </c>
      <c r="G314" s="87">
        <v>0</v>
      </c>
      <c r="H314" s="87" t="str">
        <v/>
      </c>
    </row>
    <row r="315" spans="1:8" x14ac:dyDescent="0.2">
      <c r="A315" s="87" t="str">
        <v>retirement tax planning software</v>
      </c>
      <c r="B315" s="87">
        <v>92</v>
      </c>
      <c r="G315" s="87">
        <v>0</v>
      </c>
      <c r="H315" s="87" t="str">
        <v/>
      </c>
    </row>
    <row r="316" spans="1:8" x14ac:dyDescent="0.2">
      <c r="A316" s="87" t="str">
        <v>blue 20 dollar bill</v>
      </c>
      <c r="B316" s="87">
        <v>93</v>
      </c>
      <c r="G316" s="87">
        <v>0</v>
      </c>
      <c r="H316" s="87" t="str">
        <v/>
      </c>
    </row>
    <row r="317" spans="1:8" x14ac:dyDescent="0.2">
      <c r="A317" s="87" t="str">
        <v>20 dollar bill worth</v>
      </c>
      <c r="B317" s="87">
        <v>96</v>
      </c>
      <c r="G317" s="87">
        <v>0</v>
      </c>
      <c r="H317" s="87" t="str">
        <v/>
      </c>
    </row>
    <row r="318" spans="1:8" x14ac:dyDescent="0.2">
      <c r="A318" s="87" t="str">
        <v>investment management fees comparison</v>
      </c>
      <c r="B318" s="87" t="str">
        <v/>
      </c>
      <c r="G318" s="87">
        <v>0</v>
      </c>
      <c r="H318" s="87" t="str">
        <v/>
      </c>
    </row>
    <row r="319" spans="1:8" x14ac:dyDescent="0.2">
      <c r="A319" s="87" t="str">
        <v>estate planning partnership vs corporation</v>
      </c>
      <c r="B319" s="87" t="str">
        <v/>
      </c>
      <c r="G319" s="87">
        <v>0</v>
      </c>
      <c r="H319" s="87" t="str">
        <v/>
      </c>
    </row>
    <row r="320" spans="1:8" x14ac:dyDescent="0.2">
      <c r="A320" s="87" t="str">
        <v>best retirement planning websites</v>
      </c>
      <c r="B320" s="87" t="str">
        <v/>
      </c>
      <c r="G320" s="87">
        <v>0</v>
      </c>
      <c r="H320" s="87" t="str">
        <v/>
      </c>
    </row>
    <row r="321" spans="1:8" x14ac:dyDescent="0.2">
      <c r="A321" s="87" t="str">
        <v>price Example group wealth management</v>
      </c>
      <c r="B321" s="87" t="str">
        <v/>
      </c>
      <c r="G321" s="87">
        <v>0</v>
      </c>
      <c r="H321" s="87" t="str">
        <v/>
      </c>
    </row>
    <row r="322" spans="1:8" x14ac:dyDescent="0.2">
      <c r="A322" s="87" t="str">
        <v>wealth management firms minneapolis</v>
      </c>
      <c r="B322" s="87" t="str">
        <v/>
      </c>
      <c r="G322" s="87">
        <v>0</v>
      </c>
      <c r="H322" s="87" t="str">
        <v/>
      </c>
    </row>
    <row r="323" spans="1:8" x14ac:dyDescent="0.2">
      <c r="A323" s="87" t="str">
        <v>alternative investment management firm</v>
      </c>
      <c r="B323" s="87" t="str">
        <v/>
      </c>
      <c r="G323" s="87">
        <v>0</v>
      </c>
      <c r="H323" s="87" t="str">
        <v/>
      </c>
    </row>
    <row r="324" spans="1:8" x14ac:dyDescent="0.2">
      <c r="A324" s="87" t="str">
        <v>top wealth management firms minneapolis</v>
      </c>
      <c r="B324" s="87" t="str">
        <v/>
      </c>
      <c r="G324" s="87">
        <v>0</v>
      </c>
      <c r="H324" s="87" t="str">
        <v/>
      </c>
    </row>
    <row r="325" spans="1:8" x14ac:dyDescent="0.2">
      <c r="A325" s="87" t="str">
        <v>private wealth management vs wealth management</v>
      </c>
      <c r="B325" s="87" t="str">
        <v/>
      </c>
      <c r="G325" s="87">
        <v>0</v>
      </c>
      <c r="H325" s="87" t="str">
        <v/>
      </c>
    </row>
    <row r="326" spans="1:8" x14ac:dyDescent="0.2">
      <c r="A326" s="87" t="str">
        <v>private equity vs wealth management</v>
      </c>
      <c r="B326" s="87" t="str">
        <v/>
      </c>
      <c r="G326" s="87">
        <v>0</v>
      </c>
      <c r="H326" s="87" t="str">
        <v/>
      </c>
    </row>
    <row r="327" spans="1:8" x14ac:dyDescent="0.2">
      <c r="A327" s="87" t="str">
        <v>top Example advisors in minnesota</v>
      </c>
      <c r="B327" s="87" t="str">
        <v/>
      </c>
      <c r="G327" s="87">
        <v>0</v>
      </c>
      <c r="H327" s="87" t="str">
        <v/>
      </c>
    </row>
    <row r="328" spans="1:8" x14ac:dyDescent="0.2">
      <c r="A328" s="87" t="str">
        <v>investment companies minneapolis</v>
      </c>
      <c r="B328" s="87" t="str">
        <v/>
      </c>
      <c r="G328" s="87">
        <v>0</v>
      </c>
      <c r="H328" s="87" t="str">
        <v/>
      </c>
    </row>
    <row r="329" spans="1:8" x14ac:dyDescent="0.2">
      <c r="A329" s="87" t="str">
        <v>kirsten davidson</v>
      </c>
      <c r="B329" s="87">
        <v>23</v>
      </c>
      <c r="G329" s="87">
        <v>0</v>
      </c>
      <c r="H329" s="87" t="str">
        <v/>
      </c>
    </row>
    <row r="330" spans="1:8" x14ac:dyDescent="0.2">
      <c r="A330" s="87" t="str">
        <v>teresa goff</v>
      </c>
      <c r="B330" s="87">
        <v>34</v>
      </c>
      <c r="G330" s="87">
        <v>0</v>
      </c>
      <c r="H330" s="87" t="str">
        <v/>
      </c>
    </row>
    <row r="331" spans="1:8" x14ac:dyDescent="0.2">
      <c r="A331" s="87" t="str">
        <v>speak with your wallet</v>
      </c>
      <c r="B331" s="87">
        <v>37</v>
      </c>
      <c r="G331" s="87">
        <v>0</v>
      </c>
      <c r="H331" s="87" t="str">
        <v/>
      </c>
    </row>
    <row r="332" spans="1:8" x14ac:dyDescent="0.2">
      <c r="A332" s="87" t="str">
        <v>refined wealth management</v>
      </c>
      <c r="B332" s="87">
        <v>44</v>
      </c>
      <c r="G332" s="87">
        <v>0</v>
      </c>
      <c r="H332" s="87" t="str">
        <v/>
      </c>
    </row>
    <row r="333" spans="1:8" x14ac:dyDescent="0.2">
      <c r="A333" s="87" t="str">
        <v>trade lake mutual</v>
      </c>
      <c r="B333" s="87">
        <v>48</v>
      </c>
      <c r="G333" s="87">
        <v>0</v>
      </c>
      <c r="H333" s="87" t="str">
        <v/>
      </c>
    </row>
    <row r="334" spans="1:8" x14ac:dyDescent="0.2">
      <c r="A334" s="87" t="str">
        <v>1040a tax form and instructions</v>
      </c>
      <c r="B334" s="87">
        <v>64</v>
      </c>
      <c r="G334" s="87">
        <v>0</v>
      </c>
      <c r="H334" s="87" t="str">
        <v/>
      </c>
    </row>
    <row r="335" spans="1:8" x14ac:dyDescent="0.2">
      <c r="A335" s="87" t="str">
        <v>free credit report ABC</v>
      </c>
      <c r="B335" s="87">
        <v>74</v>
      </c>
      <c r="G335" s="87">
        <v>0</v>
      </c>
      <c r="H335" s="87" t="str">
        <v/>
      </c>
    </row>
    <row r="336" spans="1:8" x14ac:dyDescent="0.2">
      <c r="A336" s="87" t="str">
        <v>bounce it up ABC</v>
      </c>
      <c r="B336" s="87">
        <v>74</v>
      </c>
      <c r="G336" s="87">
        <v>0</v>
      </c>
      <c r="H336" s="87" t="str">
        <v/>
      </c>
    </row>
    <row r="337" spans="1:8" x14ac:dyDescent="0.2">
      <c r="A337" s="87" t="str">
        <v>minnetonka official website</v>
      </c>
      <c r="B337" s="87">
        <v>82</v>
      </c>
      <c r="G337" s="87">
        <v>0</v>
      </c>
      <c r="H337" s="87" t="str">
        <v/>
      </c>
    </row>
    <row r="338" spans="1:8" x14ac:dyDescent="0.2">
      <c r="A338" s="87" t="str">
        <v>minneapolis to ny</v>
      </c>
      <c r="B338" s="87">
        <v>87</v>
      </c>
      <c r="G338" s="87">
        <v>0</v>
      </c>
      <c r="H338" s="87" t="str">
        <v/>
      </c>
    </row>
    <row r="339" spans="1:8" x14ac:dyDescent="0.2">
      <c r="A339" s="87" t="str">
        <v>net sane</v>
      </c>
      <c r="B339" s="87">
        <v>89</v>
      </c>
      <c r="G339" s="87">
        <v>0</v>
      </c>
      <c r="H339" s="87" t="str">
        <v/>
      </c>
    </row>
    <row r="340" spans="1:8" x14ac:dyDescent="0.2">
      <c r="A340" s="87" t="str">
        <v>ABC blog</v>
      </c>
      <c r="B340" s="87">
        <v>90</v>
      </c>
      <c r="G340" s="87">
        <v>0</v>
      </c>
      <c r="H340" s="87" t="str">
        <v/>
      </c>
    </row>
    <row r="341" spans="1:8" x14ac:dyDescent="0.2">
      <c r="A341" s="87" t="str">
        <v>socially responsible investment performance</v>
      </c>
      <c r="B341" s="87">
        <v>92</v>
      </c>
      <c r="G341" s="87">
        <v>0</v>
      </c>
      <c r="H341" s="87" t="str">
        <v/>
      </c>
    </row>
    <row r="342" spans="1:8" x14ac:dyDescent="0.2">
      <c r="A342" s="87" t="str">
        <v>average life of a dollar bill</v>
      </c>
      <c r="B342" s="87">
        <v>98</v>
      </c>
      <c r="G342" s="87">
        <v>0</v>
      </c>
      <c r="H342" s="87" t="str">
        <v/>
      </c>
    </row>
    <row r="343" spans="1:8" x14ac:dyDescent="0.2">
      <c r="A343" s="87" t="str">
        <v>lpl Example reviews and ratings</v>
      </c>
      <c r="B343" s="87" t="str">
        <v/>
      </c>
      <c r="G343" s="87">
        <v>0</v>
      </c>
      <c r="H343" s="87" t="str">
        <v/>
      </c>
    </row>
    <row r="344" spans="1:8" x14ac:dyDescent="0.2">
      <c r="A344" s="87" t="str">
        <v>asset management vs private wealth management</v>
      </c>
      <c r="B344" s="87" t="str">
        <v/>
      </c>
      <c r="G344" s="87">
        <v>0</v>
      </c>
      <c r="H344" s="87" t="str">
        <v/>
      </c>
    </row>
    <row r="345" spans="1:8" x14ac:dyDescent="0.2">
      <c r="A345" s="87" t="str">
        <v>investment management vs hedge fund</v>
      </c>
      <c r="B345" s="87" t="str">
        <v/>
      </c>
      <c r="G345" s="87">
        <v>0</v>
      </c>
      <c r="H345" s="87" t="str">
        <v/>
      </c>
    </row>
    <row r="346" spans="1:8" x14ac:dyDescent="0.2">
      <c r="A346" s="87" t="str">
        <v>estate planning llc vs. trust</v>
      </c>
      <c r="B346" s="87" t="str">
        <v/>
      </c>
      <c r="G346" s="87">
        <v>0</v>
      </c>
      <c r="H346" s="87" t="str">
        <v/>
      </c>
    </row>
    <row r="347" spans="1:8" x14ac:dyDescent="0.2">
      <c r="A347" s="87" t="str">
        <v>best estate planning websites</v>
      </c>
      <c r="B347" s="87" t="str">
        <v/>
      </c>
      <c r="G347" s="87">
        <v>0</v>
      </c>
      <c r="H347" s="87" t="str">
        <v/>
      </c>
    </row>
    <row r="348" spans="1:8" x14ac:dyDescent="0.2">
      <c r="A348" s="87" t="str">
        <v>best online wealth management</v>
      </c>
      <c r="B348" s="87" t="str">
        <v/>
      </c>
      <c r="G348" s="87">
        <v>0</v>
      </c>
      <c r="H348" s="87" t="str">
        <v/>
      </c>
    </row>
    <row r="349" spans="1:8" x14ac:dyDescent="0.2">
      <c r="A349" s="87" t="str">
        <v>top fee only wealth management firms</v>
      </c>
      <c r="B349" s="87" t="str">
        <v/>
      </c>
      <c r="G349" s="87">
        <v>0</v>
      </c>
      <c r="H349" s="87" t="str">
        <v/>
      </c>
    </row>
    <row r="350" spans="1:8" x14ac:dyDescent="0.2">
      <c r="A350" s="87" t="str">
        <v>private wealth management vs investment banking</v>
      </c>
      <c r="B350" s="87" t="str">
        <v/>
      </c>
      <c r="G350" s="87">
        <v>0</v>
      </c>
      <c r="H350" s="87" t="str">
        <v/>
      </c>
    </row>
    <row r="351" spans="1:8" x14ac:dyDescent="0.2">
      <c r="A351" s="87" t="str">
        <v>sofi wealth management review</v>
      </c>
      <c r="B351" s="87" t="str">
        <v/>
      </c>
      <c r="G351" s="87">
        <v>0</v>
      </c>
      <c r="H351" s="87" t="str">
        <v/>
      </c>
    </row>
    <row r="352" spans="1:8" x14ac:dyDescent="0.2">
      <c r="A352" s="87" t="str">
        <v>price on contemporary estate planning</v>
      </c>
      <c r="B352" s="87" t="str">
        <v/>
      </c>
      <c r="G352" s="87">
        <v>0</v>
      </c>
      <c r="H352" s="87" t="str">
        <v/>
      </c>
    </row>
    <row r="353" spans="1:8" x14ac:dyDescent="0.2">
      <c r="A353" s="87" t="str">
        <v>top investment management companies</v>
      </c>
      <c r="B353" s="87" t="str">
        <v/>
      </c>
      <c r="G353" s="87">
        <v>0</v>
      </c>
      <c r="H353" s="87" t="str">
        <v/>
      </c>
    </row>
    <row r="354" spans="1:8" x14ac:dyDescent="0.2">
      <c r="A354" s="87" t="str">
        <v>top us wealth management firms</v>
      </c>
      <c r="B354" s="87" t="str">
        <v/>
      </c>
      <c r="G354" s="87">
        <v>0</v>
      </c>
      <c r="H354" s="87" t="str">
        <v/>
      </c>
    </row>
    <row r="355" spans="1:8" x14ac:dyDescent="0.2">
      <c r="A355" s="87" t="str">
        <v>best retirement planning podcasts</v>
      </c>
      <c r="B355" s="87" t="str">
        <v/>
      </c>
      <c r="G355" s="87">
        <v>0</v>
      </c>
      <c r="H355" s="87" t="str">
        <v/>
      </c>
    </row>
    <row r="356" spans="1:8" x14ac:dyDescent="0.2">
      <c r="A356" s="87" t="str">
        <v>estate planning vs living trust</v>
      </c>
      <c r="B356" s="87" t="str">
        <v/>
      </c>
      <c r="G356" s="87">
        <v>0</v>
      </c>
      <c r="H356" s="87" t="str">
        <v/>
      </c>
    </row>
    <row r="357" spans="1:8" x14ac:dyDescent="0.2">
      <c r="A357" s="87" t="str">
        <v>top 40 wealth management firms</v>
      </c>
      <c r="B357" s="87" t="str">
        <v/>
      </c>
      <c r="G357" s="87">
        <v>0</v>
      </c>
      <c r="H357" s="87" t="str">
        <v/>
      </c>
    </row>
    <row r="358" spans="1:8" x14ac:dyDescent="0.2">
      <c r="A358" s="87" t="str">
        <v>investment management vs private equity</v>
      </c>
      <c r="B358" s="87" t="str">
        <v/>
      </c>
      <c r="G358" s="87">
        <v>0</v>
      </c>
      <c r="H358" s="87" t="str">
        <v/>
      </c>
    </row>
    <row r="359" spans="1:8" x14ac:dyDescent="0.2">
      <c r="A359" s="87" t="str">
        <v>investment companies in minnesota</v>
      </c>
      <c r="B359" s="87" t="str">
        <v/>
      </c>
      <c r="G359" s="87">
        <v>0</v>
      </c>
      <c r="H359" s="87" t="str">
        <v/>
      </c>
    </row>
    <row r="360" spans="1:8" x14ac:dyDescent="0.2">
      <c r="A360" s="87" t="str">
        <v>investment adviser certified compliance professional</v>
      </c>
      <c r="B360" s="87" t="str">
        <v/>
      </c>
      <c r="G360" s="87">
        <v>0</v>
      </c>
      <c r="H360" s="87" t="str">
        <v/>
      </c>
    </row>
    <row r="361" spans="1:8" x14ac:dyDescent="0.2">
      <c r="A361" s="87" t="str">
        <v>retirement ABC</v>
      </c>
      <c r="B361" s="87">
        <v>4</v>
      </c>
      <c r="G361" s="87">
        <v>0</v>
      </c>
      <c r="H361" s="87" t="str">
        <v/>
      </c>
    </row>
    <row r="362" spans="1:8" x14ac:dyDescent="0.2">
      <c r="A362" s="87" t="str">
        <v>theresa goff</v>
      </c>
      <c r="B362" s="87">
        <v>9</v>
      </c>
      <c r="G362" s="87">
        <v>0</v>
      </c>
      <c r="H362" s="87" t="str">
        <v/>
      </c>
    </row>
    <row r="363" spans="1:8" x14ac:dyDescent="0.2">
      <c r="A363" s="87" t="str">
        <v>tom ABC</v>
      </c>
      <c r="B363" s="87">
        <v>21</v>
      </c>
      <c r="G363" s="87">
        <v>0</v>
      </c>
      <c r="H363" s="87" t="str">
        <v/>
      </c>
    </row>
    <row r="364" spans="1:8" x14ac:dyDescent="0.2">
      <c r="A364" s="87" t="str">
        <v>ABC mortgage customer care net</v>
      </c>
      <c r="B364" s="87">
        <v>21</v>
      </c>
      <c r="G364" s="87">
        <v>0</v>
      </c>
      <c r="H364" s="87" t="str">
        <v/>
      </c>
    </row>
    <row r="365" spans="1:8" x14ac:dyDescent="0.2">
      <c r="A365" s="87" t="str">
        <v>michael rogers state street</v>
      </c>
      <c r="B365" s="87">
        <v>27</v>
      </c>
      <c r="G365" s="87">
        <v>0</v>
      </c>
      <c r="H365" s="87" t="str">
        <v/>
      </c>
    </row>
    <row r="366" spans="1:8" x14ac:dyDescent="0.2">
      <c r="A366" s="87" t="str">
        <v>mindfulness and money</v>
      </c>
      <c r="B366" s="87">
        <v>52</v>
      </c>
      <c r="G366" s="87">
        <v>0</v>
      </c>
      <c r="H366" s="87" t="str">
        <v/>
      </c>
    </row>
    <row r="367" spans="1:8" x14ac:dyDescent="0.2">
      <c r="A367" s="87" t="str">
        <v>what is the estimated lifespan of a us $1 bill</v>
      </c>
      <c r="B367" s="87">
        <v>54</v>
      </c>
      <c r="G367" s="87">
        <v>0</v>
      </c>
      <c r="H367" s="87" t="str">
        <v/>
      </c>
    </row>
    <row r="368" spans="1:8" x14ac:dyDescent="0.2">
      <c r="A368" s="87" t="str">
        <v>ABC backups</v>
      </c>
      <c r="B368" s="87">
        <v>59</v>
      </c>
      <c r="G368" s="87">
        <v>0</v>
      </c>
      <c r="H368" s="87" t="str">
        <v/>
      </c>
    </row>
    <row r="369" spans="1:8" x14ac:dyDescent="0.2">
      <c r="A369" s="87" t="str">
        <v>keogh contribution deadline</v>
      </c>
      <c r="B369" s="87">
        <v>62</v>
      </c>
      <c r="G369" s="87">
        <v>0</v>
      </c>
      <c r="H369" s="87" t="str">
        <v/>
      </c>
    </row>
    <row r="370" spans="1:8" x14ac:dyDescent="0.2">
      <c r="A370" s="87" t="str">
        <v>fin ABC</v>
      </c>
      <c r="B370" s="87">
        <v>63</v>
      </c>
      <c r="G370" s="87">
        <v>0</v>
      </c>
      <c r="H370" s="87" t="str">
        <v/>
      </c>
    </row>
    <row r="371" spans="1:8" x14ac:dyDescent="0.2">
      <c r="A371" s="87" t="str">
        <v>crazy market game</v>
      </c>
      <c r="B371" s="87">
        <v>64</v>
      </c>
      <c r="G371" s="87">
        <v>0</v>
      </c>
      <c r="H371" s="87" t="str">
        <v/>
      </c>
    </row>
    <row r="372" spans="1:8" x14ac:dyDescent="0.2">
      <c r="A372" s="87" t="str">
        <v>gen xers millennials</v>
      </c>
      <c r="B372" s="87">
        <v>78</v>
      </c>
      <c r="G372" s="87">
        <v>0</v>
      </c>
      <c r="H372" s="87" t="str">
        <v/>
      </c>
    </row>
    <row r="373" spans="1:8" x14ac:dyDescent="0.2">
      <c r="A373" s="87" t="str">
        <v>strategies ABC careers</v>
      </c>
      <c r="B373" s="87">
        <v>84</v>
      </c>
      <c r="G373" s="87">
        <v>0</v>
      </c>
      <c r="H373" s="87" t="str">
        <v/>
      </c>
    </row>
    <row r="374" spans="1:8" x14ac:dyDescent="0.2">
      <c r="A374" s="87" t="str">
        <v>marcus winbush</v>
      </c>
      <c r="B374" s="87">
        <v>88</v>
      </c>
      <c r="G374" s="87">
        <v>0</v>
      </c>
      <c r="H374" s="87" t="str">
        <v/>
      </c>
    </row>
    <row r="375" spans="1:8" x14ac:dyDescent="0.2">
      <c r="A375" s="87" t="str">
        <v>which government organization protects investors?</v>
      </c>
      <c r="B375" s="87">
        <v>96</v>
      </c>
      <c r="G375" s="87">
        <v>0</v>
      </c>
      <c r="H375" s="87" t="str">
        <v/>
      </c>
    </row>
    <row r="376" spans="1:8" x14ac:dyDescent="0.2">
      <c r="A376" s="87" t="str">
        <v>an economy is officially in recession when:</v>
      </c>
      <c r="B376" s="87">
        <v>97</v>
      </c>
      <c r="G376" s="87">
        <v>0</v>
      </c>
      <c r="H376" s="87" t="str">
        <v/>
      </c>
    </row>
    <row r="377" spans="1:8" x14ac:dyDescent="0.2">
      <c r="A377" s="87" t="str">
        <v>paying yourself first is an example of</v>
      </c>
      <c r="B377" s="87">
        <v>98</v>
      </c>
      <c r="G377" s="87">
        <v>0</v>
      </c>
      <c r="H377" s="87" t="str">
        <v/>
      </c>
    </row>
    <row r="378" spans="1:8" x14ac:dyDescent="0.2">
      <c r="A378" s="87" t="str">
        <v>whole life insurance how it works</v>
      </c>
      <c r="B378" s="87">
        <v>98</v>
      </c>
      <c r="G378" s="87">
        <v>0</v>
      </c>
      <c r="H378" s="87" t="str">
        <v/>
      </c>
    </row>
    <row r="379" spans="1:8" x14ac:dyDescent="0.2">
      <c r="A379" s="87" t="str">
        <v>top wealth management banks</v>
      </c>
      <c r="B379" s="87" t="str">
        <v/>
      </c>
      <c r="G379" s="87">
        <v>0</v>
      </c>
      <c r="H379" s="87" t="str">
        <v/>
      </c>
    </row>
    <row r="380" spans="1:8" x14ac:dyDescent="0.2">
      <c r="A380" s="87" t="str">
        <v>top private wealth management companies</v>
      </c>
      <c r="B380" s="87" t="str">
        <v/>
      </c>
      <c r="G380" s="87">
        <v>0</v>
      </c>
      <c r="H380" s="87" t="str">
        <v/>
      </c>
    </row>
    <row r="381" spans="1:8" x14ac:dyDescent="0.2">
      <c r="A381" s="87" t="str">
        <v>top wealth management firms to work for</v>
      </c>
      <c r="B381" s="87" t="str">
        <v/>
      </c>
      <c r="G381" s="87">
        <v>0</v>
      </c>
      <c r="H381" s="87" t="str">
        <v/>
      </c>
    </row>
    <row r="382" spans="1:8" x14ac:dyDescent="0.2">
      <c r="A382" s="87" t="str">
        <v>top 5 wealth management firms</v>
      </c>
      <c r="B382" s="87" t="str">
        <v/>
      </c>
      <c r="G382" s="87">
        <v>0</v>
      </c>
      <c r="H382" s="87" t="str">
        <v/>
      </c>
    </row>
    <row r="383" spans="1:8" x14ac:dyDescent="0.2">
      <c r="A383" s="87" t="str">
        <v>private equity vs investment management</v>
      </c>
      <c r="B383" s="87" t="str">
        <v/>
      </c>
      <c r="G383" s="87">
        <v>0</v>
      </c>
      <c r="H383" s="87" t="str">
        <v/>
      </c>
    </row>
    <row r="384" spans="1:8" x14ac:dyDescent="0.2">
      <c r="A384" s="87" t="str">
        <v>living will vs estate planning</v>
      </c>
      <c r="B384" s="87" t="str">
        <v/>
      </c>
      <c r="G384" s="87">
        <v>0</v>
      </c>
      <c r="H384" s="87" t="str">
        <v/>
      </c>
    </row>
    <row r="385" spans="1:8" x14ac:dyDescent="0.2">
      <c r="A385" s="87" t="str">
        <v>private wealth management vs asset management</v>
      </c>
      <c r="B385" s="87" t="str">
        <v/>
      </c>
      <c r="G385" s="87">
        <v>0</v>
      </c>
      <c r="H385" s="87" t="str">
        <v/>
      </c>
    </row>
    <row r="386" spans="1:8" x14ac:dyDescent="0.2">
      <c r="A386" s="87" t="str">
        <v>top independent wealth management firms</v>
      </c>
      <c r="B386" s="87" t="str">
        <v/>
      </c>
      <c r="G386" s="87">
        <v>0</v>
      </c>
      <c r="H386" s="87" t="str">
        <v/>
      </c>
    </row>
    <row r="387" spans="1:8" x14ac:dyDescent="0.2">
      <c r="A387" s="87" t="str">
        <v>the best wealth management firms</v>
      </c>
      <c r="B387" s="87" t="str">
        <v/>
      </c>
      <c r="G387" s="87">
        <v>0</v>
      </c>
      <c r="H387" s="87" t="str">
        <v/>
      </c>
    </row>
    <row r="388" spans="1:8" x14ac:dyDescent="0.2">
      <c r="A388" s="87" t="str">
        <v>retirement planning today course review</v>
      </c>
      <c r="B388" s="87" t="str">
        <v/>
      </c>
      <c r="G388" s="87">
        <v>0</v>
      </c>
      <c r="H388" s="87" t="str">
        <v/>
      </c>
    </row>
    <row r="389" spans="1:8" x14ac:dyDescent="0.2">
      <c r="A389" s="87" t="str">
        <v>what is the best wealth management firm</v>
      </c>
      <c r="B389" s="87" t="str">
        <v/>
      </c>
      <c r="G389" s="87">
        <v>0</v>
      </c>
      <c r="H389" s="87" t="str">
        <v/>
      </c>
    </row>
    <row r="390" spans="1:8" x14ac:dyDescent="0.2">
      <c r="A390" s="87" t="str">
        <v>is wealth management buy side</v>
      </c>
      <c r="B390" s="87" t="str">
        <v/>
      </c>
      <c r="G390" s="87">
        <v>0</v>
      </c>
      <c r="H390" s="87" t="str">
        <v/>
      </c>
    </row>
    <row r="391" spans="1:8" x14ac:dyDescent="0.2">
      <c r="A391" s="87" t="str">
        <v>best wealth management advisors</v>
      </c>
      <c r="B391" s="87" t="str">
        <v/>
      </c>
      <c r="G391" s="87">
        <v>0</v>
      </c>
      <c r="H391" s="87" t="str">
        <v/>
      </c>
    </row>
    <row r="392" spans="1:8" x14ac:dyDescent="0.2">
      <c r="A392" s="87" t="str">
        <v>best performing wealth management firms</v>
      </c>
      <c r="B392" s="87" t="str">
        <v/>
      </c>
      <c r="G392" s="87">
        <v>0</v>
      </c>
      <c r="H392" s="87" t="str">
        <v/>
      </c>
    </row>
    <row r="393" spans="1:8" x14ac:dyDescent="0.2">
      <c r="A393" s="87" t="str">
        <v>best Example advisors mn</v>
      </c>
      <c r="B393" s="87" t="str">
        <v/>
      </c>
      <c r="G393" s="87">
        <v>0</v>
      </c>
      <c r="H393" s="87" t="str">
        <v/>
      </c>
    </row>
    <row r="394" spans="1:8" x14ac:dyDescent="0.2">
      <c r="A394" s="87" t="str">
        <v>top Example management companies</v>
      </c>
      <c r="B394" s="87" t="str">
        <v/>
      </c>
      <c r="G394" s="87">
        <v>0</v>
      </c>
      <c r="H394" s="87" t="str">
        <v/>
      </c>
    </row>
    <row r="395" spans="1:8" x14ac:dyDescent="0.2">
      <c r="A395" s="87" t="str">
        <v>tom whitnah</v>
      </c>
      <c r="B395" s="87">
        <v>1</v>
      </c>
      <c r="G395" s="87">
        <v>0</v>
      </c>
      <c r="H395" s="87" t="str">
        <v/>
      </c>
    </row>
    <row r="396" spans="1:8" x14ac:dyDescent="0.2">
      <c r="A396" s="87" t="str">
        <v>branch net lpl</v>
      </c>
      <c r="B396" s="87">
        <v>18</v>
      </c>
      <c r="G396" s="87">
        <v>0</v>
      </c>
      <c r="H396" s="87" t="str">
        <v/>
      </c>
    </row>
    <row r="397" spans="1:8" x14ac:dyDescent="0.2">
      <c r="A397" s="87" t="str">
        <v>lpl branch net</v>
      </c>
      <c r="B397" s="87">
        <v>18</v>
      </c>
      <c r="G397" s="87">
        <v>0</v>
      </c>
      <c r="H397" s="87" t="str">
        <v/>
      </c>
    </row>
    <row r="398" spans="1:8" x14ac:dyDescent="0.2">
      <c r="A398" s="87" t="str">
        <v>tax planning process</v>
      </c>
      <c r="B398" s="87">
        <v>24</v>
      </c>
      <c r="G398" s="87">
        <v>0</v>
      </c>
      <c r="H398" s="87" t="str">
        <v/>
      </c>
    </row>
    <row r="399" spans="1:8" x14ac:dyDescent="0.2">
      <c r="A399" s="87" t="str">
        <v>how many 20 dollar bills in a band</v>
      </c>
      <c r="B399" s="87">
        <v>32</v>
      </c>
      <c r="G399" s="87">
        <v>0</v>
      </c>
      <c r="H399" s="87" t="str">
        <v/>
      </c>
    </row>
    <row r="400" spans="1:8" x14ac:dyDescent="0.2">
      <c r="A400" s="87" t="str">
        <v>minneapolis Example firms</v>
      </c>
      <c r="B400" s="87" t="str">
        <v/>
      </c>
      <c r="G400" s="87">
        <v>0</v>
      </c>
      <c r="H400" s="87" t="str">
        <v/>
      </c>
    </row>
    <row r="401" spans="1:8" x14ac:dyDescent="0.2">
      <c r="A401" s="87" t="str">
        <v>associated Example group minnetonka mn</v>
      </c>
      <c r="B401" s="87" t="str">
        <v/>
      </c>
      <c r="G401" s="87">
        <v>0</v>
      </c>
      <c r="H401" s="87" t="str">
        <v/>
      </c>
    </row>
    <row r="402" spans="1:8" x14ac:dyDescent="0.2">
      <c r="A402" s="87" t="str">
        <v>mike rogers contact</v>
      </c>
      <c r="B402" s="87">
        <v>61</v>
      </c>
      <c r="G402" s="87">
        <v>0</v>
      </c>
      <c r="H402" s="87" t="str">
        <v/>
      </c>
    </row>
    <row r="403" spans="1:8" x14ac:dyDescent="0.2">
      <c r="A403" s="87" t="str">
        <v>rogers internet login</v>
      </c>
      <c r="B403" s="87">
        <v>65</v>
      </c>
      <c r="G403" s="87">
        <v>0</v>
      </c>
      <c r="H403" s="87" t="str">
        <v/>
      </c>
    </row>
    <row r="404" spans="1:8" x14ac:dyDescent="0.2">
      <c r="A404" s="87" t="str">
        <v>the dividend yield</v>
      </c>
      <c r="B404" s="87">
        <v>65</v>
      </c>
      <c r="G404" s="87">
        <v>0</v>
      </c>
      <c r="H404" s="87" t="str">
        <v/>
      </c>
    </row>
    <row r="405" spans="1:8" x14ac:dyDescent="0.2">
      <c r="A405" s="87" t="str">
        <v>selling ABC</v>
      </c>
      <c r="B405" s="87">
        <v>68</v>
      </c>
      <c r="G405" s="87">
        <v>0</v>
      </c>
      <c r="H405" s="87" t="str">
        <v/>
      </c>
    </row>
    <row r="406" spans="1:8" x14ac:dyDescent="0.2">
      <c r="A406" s="87" t="str">
        <v>rift client</v>
      </c>
      <c r="B406" s="87">
        <v>69</v>
      </c>
      <c r="G406" s="87">
        <v>0</v>
      </c>
      <c r="H406" s="87" t="str">
        <v/>
      </c>
    </row>
    <row r="407" spans="1:8" x14ac:dyDescent="0.2">
      <c r="A407" s="87" t="str">
        <v>eden prairie presbyterian church</v>
      </c>
      <c r="B407" s="87">
        <v>70</v>
      </c>
      <c r="G407" s="87">
        <v>0</v>
      </c>
      <c r="H407" s="87" t="str">
        <v/>
      </c>
    </row>
    <row r="408" spans="1:8" x14ac:dyDescent="0.2">
      <c r="A408" s="87" t="str">
        <v>Example Business group final expense</v>
      </c>
      <c r="B408" s="87" t="str">
        <v/>
      </c>
      <c r="G408" s="87">
        <v>0</v>
      </c>
      <c r="H408" s="87" t="str">
        <v/>
      </c>
    </row>
    <row r="409" spans="1:8" x14ac:dyDescent="0.2">
      <c r="A409" s="87" t="str">
        <v>ubs wayzata mn</v>
      </c>
      <c r="B409" s="87">
        <v>76</v>
      </c>
      <c r="G409" s="87">
        <v>0</v>
      </c>
      <c r="H409" s="87" t="str">
        <v/>
      </c>
    </row>
    <row r="410" spans="1:8" x14ac:dyDescent="0.2">
      <c r="A410" s="87" t="str">
        <v>nick Example</v>
      </c>
      <c r="B410" s="87" t="str">
        <v/>
      </c>
      <c r="G410" s="87">
        <v>0</v>
      </c>
      <c r="H410" s="87" t="str">
        <v/>
      </c>
    </row>
    <row r="411" spans="1:8" x14ac:dyDescent="0.2">
      <c r="A411" s="87" t="str">
        <v>define socially responsible investing</v>
      </c>
      <c r="B411" s="87">
        <v>77</v>
      </c>
      <c r="G411" s="87">
        <v>0</v>
      </c>
      <c r="H411" s="87" t="str">
        <v/>
      </c>
    </row>
    <row r="412" spans="1:8" x14ac:dyDescent="0.2">
      <c r="A412" s="87" t="str">
        <v>capitalalliance</v>
      </c>
      <c r="B412" s="87">
        <v>81</v>
      </c>
      <c r="G412" s="87">
        <v>0</v>
      </c>
      <c r="H412" s="87" t="str">
        <v/>
      </c>
    </row>
    <row r="413" spans="1:8" x14ac:dyDescent="0.2">
      <c r="A413" s="87" t="str">
        <v>lifeExample Business planning</v>
      </c>
      <c r="B413" s="87" t="str">
        <v/>
      </c>
      <c r="G413" s="87">
        <v>0</v>
      </c>
      <c r="H413" s="87" t="str">
        <v/>
      </c>
    </row>
    <row r="414" spans="1:8" x14ac:dyDescent="0.2">
      <c r="A414" s="87" t="str">
        <v>20 dollar change</v>
      </c>
      <c r="B414" s="87">
        <v>93</v>
      </c>
      <c r="G414" s="87">
        <v>0</v>
      </c>
      <c r="H414" s="87" t="str">
        <v/>
      </c>
    </row>
    <row r="415" spans="1:8" x14ac:dyDescent="0.2">
      <c r="A415" s="87" t="str">
        <v>Example firms in minneapolis</v>
      </c>
      <c r="B415" s="87" t="str">
        <v/>
      </c>
      <c r="G415" s="87">
        <v>0</v>
      </c>
      <c r="H415" s="87" t="str">
        <v/>
      </c>
    </row>
    <row r="416" spans="1:8" x14ac:dyDescent="0.2">
      <c r="A416" s="87" t="str">
        <v>home insurance minnetonka</v>
      </c>
      <c r="B416" s="87">
        <v>100</v>
      </c>
      <c r="G416" s="87">
        <v>0</v>
      </c>
      <c r="H416" s="87" t="str">
        <v/>
      </c>
    </row>
    <row r="417" spans="1:8" x14ac:dyDescent="0.2">
      <c r="A417" s="87" t="str">
        <v>wealth management purchase</v>
      </c>
      <c r="B417" s="87" t="str">
        <v/>
      </c>
      <c r="G417" s="87">
        <v>0</v>
      </c>
      <c r="H417" s="87" t="str">
        <v/>
      </c>
    </row>
    <row r="418" spans="1:8" x14ac:dyDescent="0.2">
      <c r="A418" s="87" t="str">
        <v>private banking vs private wealth management</v>
      </c>
      <c r="B418" s="87" t="str">
        <v/>
      </c>
      <c r="G418" s="87">
        <v>0</v>
      </c>
      <c r="H418" s="87" t="str">
        <v/>
      </c>
    </row>
    <row r="419" spans="1:8" x14ac:dyDescent="0.2">
      <c r="A419" s="87" t="str">
        <v>best books on investment management</v>
      </c>
      <c r="B419" s="87" t="str">
        <v/>
      </c>
      <c r="G419" s="87">
        <v>0</v>
      </c>
      <c r="H419" s="87" t="str">
        <v/>
      </c>
    </row>
    <row r="420" spans="1:8" x14ac:dyDescent="0.2">
      <c r="A420" s="87" t="str">
        <v>list of top wealth management firms</v>
      </c>
      <c r="B420" s="87" t="str">
        <v/>
      </c>
      <c r="G420" s="87">
        <v>0</v>
      </c>
      <c r="H420" s="87" t="str">
        <v/>
      </c>
    </row>
    <row r="421" spans="1:8" x14ac:dyDescent="0.2">
      <c r="A421" s="87" t="str">
        <v>investment management firms minneapolis</v>
      </c>
      <c r="B421" s="87" t="str">
        <v/>
      </c>
      <c r="G421" s="87">
        <v>0</v>
      </c>
      <c r="H421" s="87" t="str">
        <v/>
      </c>
    </row>
    <row r="422" spans="1:8" x14ac:dyDescent="0.2">
      <c r="A422" s="87" t="str">
        <v>investment management review</v>
      </c>
      <c r="B422" s="87" t="str">
        <v/>
      </c>
      <c r="G422" s="87">
        <v>0</v>
      </c>
      <c r="H422" s="87" t="str">
        <v/>
      </c>
    </row>
    <row r="423" spans="1:8" x14ac:dyDescent="0.2">
      <c r="A423" s="87" t="str">
        <v>top 10 investment management firms</v>
      </c>
      <c r="B423" s="87" t="str">
        <v/>
      </c>
      <c r="G423" s="87">
        <v>0</v>
      </c>
      <c r="H423" s="87" t="str">
        <v/>
      </c>
    </row>
    <row r="424" spans="1:8" x14ac:dyDescent="0.2">
      <c r="A424" s="87" t="str">
        <v>top wealth management books</v>
      </c>
      <c r="B424" s="87" t="str">
        <v/>
      </c>
      <c r="G424" s="87">
        <v>0</v>
      </c>
      <c r="H424" s="87" t="str">
        <v/>
      </c>
    </row>
    <row r="425" spans="1:8" x14ac:dyDescent="0.2">
      <c r="A425" s="87" t="str">
        <v>investment management inc minneapolis</v>
      </c>
      <c r="B425" s="87" t="str">
        <v/>
      </c>
      <c r="G425" s="87">
        <v>0</v>
      </c>
      <c r="H425" s="87" t="str">
        <v/>
      </c>
    </row>
    <row r="426" spans="1:8" x14ac:dyDescent="0.2">
      <c r="A426" s="87" t="str">
        <v>cheap estate planning</v>
      </c>
      <c r="B426" s="87" t="str">
        <v/>
      </c>
      <c r="G426" s="87">
        <v>0</v>
      </c>
      <c r="H426" s="87" t="str">
        <v/>
      </c>
    </row>
    <row r="427" spans="1:8" x14ac:dyDescent="0.2">
      <c r="A427" s="87" t="str">
        <v>alternative investment management companies</v>
      </c>
      <c r="B427" s="87" t="str">
        <v/>
      </c>
      <c r="G427" s="87">
        <v>0</v>
      </c>
      <c r="H427" s="87" t="str">
        <v/>
      </c>
    </row>
    <row r="428" spans="1:8" x14ac:dyDescent="0.2">
      <c r="A428" s="87" t="str">
        <v>top private wealth management banks</v>
      </c>
      <c r="B428" s="87" t="str">
        <v/>
      </c>
      <c r="G428" s="87">
        <v>0</v>
      </c>
      <c r="H428" s="87" t="str">
        <v/>
      </c>
    </row>
    <row r="429" spans="1:8" x14ac:dyDescent="0.2">
      <c r="A429" s="87" t="str">
        <v>wealth management comparison</v>
      </c>
      <c r="B429" s="87" t="str">
        <v/>
      </c>
      <c r="G429" s="87">
        <v>0</v>
      </c>
      <c r="H429" s="87" t="str">
        <v/>
      </c>
    </row>
    <row r="430" spans="1:8" x14ac:dyDescent="0.2">
      <c r="A430" s="87" t="str">
        <v>top rated retirement planning companies</v>
      </c>
      <c r="B430" s="87" t="str">
        <v/>
      </c>
      <c r="G430" s="87">
        <v>0</v>
      </c>
      <c r="H430" s="87" t="str">
        <v/>
      </c>
    </row>
    <row r="431" spans="1:8" x14ac:dyDescent="0.2">
      <c r="A431" s="87" t="str">
        <v>top global wealth management firms</v>
      </c>
      <c r="B431" s="87" t="str">
        <v/>
      </c>
      <c r="G431" s="87">
        <v>0</v>
      </c>
      <c r="H431" s="87" t="str">
        <v/>
      </c>
    </row>
    <row r="432" spans="1:8" x14ac:dyDescent="0.2">
      <c r="A432" s="87" t="str">
        <v>top 20 wealth management firms</v>
      </c>
      <c r="B432" s="87" t="str">
        <v/>
      </c>
      <c r="G432" s="87">
        <v>0</v>
      </c>
      <c r="H432" s="87" t="str">
        <v/>
      </c>
    </row>
    <row r="433" spans="1:8" x14ac:dyDescent="0.2">
      <c r="A433" s="87" t="str">
        <v>top wealth management firms seattle</v>
      </c>
      <c r="B433" s="87" t="str">
        <v/>
      </c>
      <c r="G433" s="87">
        <v>0</v>
      </c>
      <c r="H433" s="87" t="str">
        <v/>
      </c>
    </row>
    <row r="434" spans="1:8" x14ac:dyDescent="0.2">
      <c r="A434" s="87" t="str">
        <v>wealth management minneapolis mn</v>
      </c>
      <c r="B434" s="87" t="str">
        <v/>
      </c>
      <c r="G434" s="87">
        <v>0</v>
      </c>
      <c r="H434" s="87" t="str">
        <v/>
      </c>
    </row>
    <row r="435" spans="1:8" x14ac:dyDescent="0.2">
      <c r="A435" s="87" t="str">
        <v>top estate planning firms</v>
      </c>
      <c r="B435" s="87" t="str">
        <v/>
      </c>
      <c r="G435" s="87">
        <v>0</v>
      </c>
      <c r="H435" s="87" t="str">
        <v/>
      </c>
    </row>
    <row r="436" spans="1:8" x14ac:dyDescent="0.2">
      <c r="A436" s="87" t="str">
        <v>top 100 investment management firms</v>
      </c>
      <c r="B436" s="87" t="str">
        <v/>
      </c>
      <c r="G436" s="87">
        <v>0</v>
      </c>
      <c r="H436" s="87" t="str">
        <v/>
      </c>
    </row>
    <row r="437" spans="1:8" x14ac:dyDescent="0.2">
      <c r="A437" s="87" t="str">
        <v>best mba for investment management</v>
      </c>
      <c r="B437" s="87" t="str">
        <v/>
      </c>
      <c r="G437" s="87">
        <v>0</v>
      </c>
      <c r="H437" s="87" t="str">
        <v/>
      </c>
    </row>
    <row r="438" spans="1:8" x14ac:dyDescent="0.2">
      <c r="A438" s="87" t="str">
        <v>top wealth management advisors</v>
      </c>
      <c r="B438" s="87" t="str">
        <v/>
      </c>
      <c r="G438" s="87">
        <v>0</v>
      </c>
      <c r="H438" s="87" t="str">
        <v/>
      </c>
    </row>
    <row r="439" spans="1:8" x14ac:dyDescent="0.2">
      <c r="A439" s="87" t="str">
        <v>top retirement planning companies</v>
      </c>
      <c r="B439" s="87" t="str">
        <v/>
      </c>
      <c r="G439" s="87">
        <v>0</v>
      </c>
      <c r="H439" s="87" t="str">
        <v/>
      </c>
    </row>
    <row r="440" spans="1:8" x14ac:dyDescent="0.2">
      <c r="A440" s="87" t="str">
        <v>best mutual fund for retirement planning</v>
      </c>
      <c r="B440" s="87" t="str">
        <v/>
      </c>
      <c r="G440" s="87">
        <v>0</v>
      </c>
      <c r="H440" s="87" t="str">
        <v/>
      </c>
    </row>
    <row r="441" spans="1:8" x14ac:dyDescent="0.2">
      <c r="A441" s="87" t="str">
        <v>private banking vs wealth management difference</v>
      </c>
      <c r="B441" s="87" t="str">
        <v/>
      </c>
      <c r="G441" s="87">
        <v>0</v>
      </c>
      <c r="H441" s="87" t="str">
        <v/>
      </c>
    </row>
    <row r="442" spans="1:8" x14ac:dyDescent="0.2">
      <c r="A442" s="87" t="str">
        <v>minneapolis estate planning council</v>
      </c>
      <c r="B442" s="87" t="str">
        <v/>
      </c>
      <c r="G442" s="87">
        <v>0</v>
      </c>
      <c r="H442" s="87" t="str">
        <v/>
      </c>
    </row>
    <row r="443" spans="1:8" x14ac:dyDescent="0.2">
      <c r="A443" s="87" t="str">
        <v>true potential wealth management review</v>
      </c>
      <c r="B443" s="87" t="str">
        <v/>
      </c>
      <c r="G443" s="87">
        <v>0</v>
      </c>
      <c r="H443" s="87" t="str">
        <v/>
      </c>
    </row>
    <row r="444" spans="1:8" x14ac:dyDescent="0.2">
      <c r="A444" s="87" t="str">
        <v>alternative investment management directive</v>
      </c>
      <c r="B444" s="87" t="str">
        <v/>
      </c>
      <c r="G444" s="87">
        <v>0</v>
      </c>
      <c r="H444" s="87" t="str">
        <v/>
      </c>
    </row>
    <row r="445" spans="1:8" x14ac:dyDescent="0.2">
      <c r="A445" s="87" t="str">
        <v>best advice for retirement planning</v>
      </c>
      <c r="B445" s="87" t="str">
        <v/>
      </c>
      <c r="G445" s="87">
        <v>0</v>
      </c>
      <c r="H445" s="87" t="str">
        <v/>
      </c>
    </row>
    <row r="446" spans="1:8" x14ac:dyDescent="0.2">
      <c r="A446" s="87" t="str">
        <v>top ten wealth management companies</v>
      </c>
      <c r="B446" s="87" t="str">
        <v/>
      </c>
      <c r="G446" s="87">
        <v>0</v>
      </c>
      <c r="H446" s="87" t="str">
        <v/>
      </c>
    </row>
    <row r="447" spans="1:8" x14ac:dyDescent="0.2">
      <c r="A447" s="87" t="str">
        <v>best online retirement planning calculator</v>
      </c>
      <c r="B447" s="87" t="str">
        <v/>
      </c>
      <c r="G447" s="87">
        <v>0</v>
      </c>
      <c r="H447" s="87" t="str">
        <v/>
      </c>
    </row>
    <row r="448" spans="1:8" x14ac:dyDescent="0.2">
      <c r="A448" s="87" t="str">
        <v>top estate planning mistakes</v>
      </c>
      <c r="B448" s="87" t="str">
        <v/>
      </c>
      <c r="G448" s="87">
        <v>0</v>
      </c>
      <c r="H448" s="87" t="str">
        <v/>
      </c>
    </row>
    <row r="449" spans="1:8" x14ac:dyDescent="0.2">
      <c r="A449" s="87" t="str">
        <v>best private wealth management banks</v>
      </c>
      <c r="B449" s="87" t="str">
        <v/>
      </c>
      <c r="G449" s="87">
        <v>0</v>
      </c>
      <c r="H449" s="87" t="str">
        <v/>
      </c>
    </row>
    <row r="450" spans="1:8" x14ac:dyDescent="0.2">
      <c r="A450" s="87" t="str">
        <v>wealth management group minneapolis</v>
      </c>
      <c r="B450" s="87" t="str">
        <v/>
      </c>
      <c r="G450" s="87">
        <v>0</v>
      </c>
      <c r="H450" s="87" t="str">
        <v/>
      </c>
    </row>
    <row r="451" spans="1:8" x14ac:dyDescent="0.2">
      <c r="A451" s="87" t="str">
        <v>best estate planning firms</v>
      </c>
      <c r="B451" s="87" t="str">
        <v/>
      </c>
      <c r="G451" s="87">
        <v>0</v>
      </c>
      <c r="H451" s="87" t="str">
        <v/>
      </c>
    </row>
    <row r="452" spans="1:8" x14ac:dyDescent="0.2">
      <c r="A452" s="87" t="str">
        <v>minneapolis retirement planning</v>
      </c>
      <c r="B452" s="87" t="str">
        <v/>
      </c>
      <c r="G452" s="87">
        <v>0</v>
      </c>
      <c r="H452" s="87" t="str">
        <v/>
      </c>
    </row>
    <row r="453" spans="1:8" x14ac:dyDescent="0.2">
      <c r="A453" s="87" t="str">
        <v>diversified wealth management minneapolis mn</v>
      </c>
      <c r="B453" s="87" t="str">
        <v/>
      </c>
      <c r="G453" s="87">
        <v>0</v>
      </c>
      <c r="H453" s="87" t="str">
        <v/>
      </c>
    </row>
    <row r="454" spans="1:8" x14ac:dyDescent="0.2">
      <c r="A454" s="87" t="str">
        <v>top 20 investment management firms</v>
      </c>
      <c r="B454" s="87" t="str">
        <v/>
      </c>
      <c r="G454" s="87">
        <v>0</v>
      </c>
      <c r="H454" s="87" t="str">
        <v/>
      </c>
    </row>
    <row r="455" spans="1:8" x14ac:dyDescent="0.2">
      <c r="A455" s="87" t="str">
        <v>t rowe price wealth management</v>
      </c>
      <c r="B455" s="87" t="str">
        <v/>
      </c>
      <c r="G455" s="87">
        <v>0</v>
      </c>
      <c r="H455" s="87" t="str">
        <v/>
      </c>
    </row>
    <row r="456" spans="1:8" x14ac:dyDescent="0.2">
      <c r="A456" s="87" t="str">
        <v>top 10 investment management companies</v>
      </c>
      <c r="B456" s="87" t="str">
        <v/>
      </c>
      <c r="G456" s="87">
        <v>0</v>
      </c>
      <c r="H456" s="87" t="str">
        <v/>
      </c>
    </row>
    <row r="457" spans="1:8" x14ac:dyDescent="0.2">
      <c r="A457" s="87" t="str">
        <v>alternative investment management certification</v>
      </c>
      <c r="B457" s="87" t="str">
        <v/>
      </c>
      <c r="G457" s="87">
        <v>0</v>
      </c>
      <c r="H457" s="87" t="str">
        <v/>
      </c>
    </row>
    <row r="458" spans="1:8" x14ac:dyDescent="0.2">
      <c r="A458" s="87" t="str">
        <v>top ten wealth management firms</v>
      </c>
      <c r="B458" s="87" t="str">
        <v/>
      </c>
      <c r="G458" s="87">
        <v>0</v>
      </c>
      <c r="H458" s="87" t="str">
        <v/>
      </c>
    </row>
    <row r="459" spans="1:8" x14ac:dyDescent="0.2">
      <c r="A459" s="87" t="str">
        <v>top 50 investment management firms</v>
      </c>
      <c r="B459" s="87" t="str">
        <v/>
      </c>
      <c r="G459" s="87">
        <v>0</v>
      </c>
      <c r="H459" s="87" t="str">
        <v/>
      </c>
    </row>
    <row r="460" spans="1:8" x14ac:dyDescent="0.2">
      <c r="A460" s="87" t="str">
        <v>best rated wealth management firms</v>
      </c>
      <c r="B460" s="87" t="str">
        <v/>
      </c>
      <c r="G460" s="87">
        <v>0</v>
      </c>
      <c r="H460" s="87" t="str">
        <v/>
      </c>
    </row>
    <row r="461" spans="1:8" x14ac:dyDescent="0.2">
      <c r="A461" s="87" t="str">
        <v>best online retirement planning tools</v>
      </c>
      <c r="B461" s="87" t="str">
        <v/>
      </c>
      <c r="G461" s="87">
        <v>0</v>
      </c>
      <c r="H461" s="87" t="str">
        <v/>
      </c>
    </row>
    <row r="462" spans="1:8" x14ac:dyDescent="0.2">
      <c r="A462" s="87" t="str">
        <v>top ranked wealth management firms</v>
      </c>
      <c r="B462" s="87" t="str">
        <v/>
      </c>
      <c r="G462" s="87">
        <v>0</v>
      </c>
      <c r="H462" s="87" t="str">
        <v/>
      </c>
    </row>
    <row r="463" spans="1:8" x14ac:dyDescent="0.2">
      <c r="A463" s="87" t="str">
        <v>top 50 wealth management firms</v>
      </c>
      <c r="B463" s="87" t="str">
        <v/>
      </c>
      <c r="G463" s="87">
        <v>0</v>
      </c>
      <c r="H463" s="87" t="str">
        <v/>
      </c>
    </row>
    <row r="464" spans="1:8" x14ac:dyDescent="0.2">
      <c r="A464" s="87" t="str">
        <v>top performing wealth management firms</v>
      </c>
      <c r="B464" s="87" t="str">
        <v/>
      </c>
      <c r="G464" s="87">
        <v>0</v>
      </c>
      <c r="H464" s="87" t="str">
        <v/>
      </c>
    </row>
    <row r="465" spans="1:8" x14ac:dyDescent="0.2">
      <c r="A465" s="87" t="str">
        <v>top rated wealth management companies</v>
      </c>
      <c r="B465" s="87" t="str">
        <v/>
      </c>
      <c r="G465" s="87">
        <v>0</v>
      </c>
      <c r="H465" s="87" t="str">
        <v/>
      </c>
    </row>
    <row r="466" spans="1:8" x14ac:dyDescent="0.2">
      <c r="A466" s="87" t="str">
        <v>top wealth management platforms</v>
      </c>
      <c r="B466" s="87" t="str">
        <v/>
      </c>
      <c r="G466" s="87">
        <v>0</v>
      </c>
      <c r="H466" s="87" t="str">
        <v/>
      </c>
    </row>
    <row r="467" spans="1:8" x14ac:dyDescent="0.2">
      <c r="A467" s="87" t="str">
        <v>top 10 private wealth management firms</v>
      </c>
      <c r="B467" s="87" t="str">
        <v/>
      </c>
      <c r="G467" s="87">
        <v>0</v>
      </c>
      <c r="H467" s="87" t="str">
        <v/>
      </c>
    </row>
    <row r="468" spans="1:8" x14ac:dyDescent="0.2">
      <c r="A468" s="87" t="str">
        <v>alternative asset investment management securities, llc</v>
      </c>
      <c r="B468" s="87" t="str">
        <v/>
      </c>
      <c r="G468" s="87">
        <v>0</v>
      </c>
      <c r="H468" s="87" t="str">
        <v/>
      </c>
    </row>
    <row r="469" spans="1:8" x14ac:dyDescent="0.2">
      <c r="A469" s="87" t="str">
        <v>best investment management websites</v>
      </c>
      <c r="B469" s="87" t="str">
        <v/>
      </c>
      <c r="G469" s="87">
        <v>0</v>
      </c>
      <c r="H469" s="87" t="str">
        <v/>
      </c>
    </row>
    <row r="470" spans="1:8" x14ac:dyDescent="0.2">
      <c r="A470" s="87" t="str">
        <v>digital estate planning review</v>
      </c>
      <c r="B470" s="87" t="str">
        <v/>
      </c>
      <c r="G470" s="87">
        <v>0</v>
      </c>
      <c r="H470" s="87" t="str">
        <v/>
      </c>
    </row>
    <row r="471" spans="1:8" x14ac:dyDescent="0.2">
      <c r="A471" s="87" t="str">
        <v>wealth management vs investment banking salaries</v>
      </c>
      <c r="B471" s="87" t="str">
        <v/>
      </c>
      <c r="G471" s="87">
        <v>0</v>
      </c>
      <c r="H471" s="87" t="str">
        <v/>
      </c>
    </row>
    <row r="472" spans="1:8" x14ac:dyDescent="0.2">
      <c r="A472" s="87" t="str">
        <v>top 10 wealth management companies</v>
      </c>
      <c r="B472" s="87" t="str">
        <v/>
      </c>
      <c r="G472" s="87">
        <v>0</v>
      </c>
      <c r="H472" s="87" t="str">
        <v/>
      </c>
    </row>
    <row r="473" spans="1:8" x14ac:dyDescent="0.2">
      <c r="A473" s="87" t="str">
        <v>Example Business group llc</v>
      </c>
      <c r="B473" s="87" t="str">
        <v/>
      </c>
      <c r="G473" s="87">
        <v>0</v>
      </c>
      <c r="H473" s="87" t="str">
        <v/>
      </c>
    </row>
    <row r="474" spans="1:8" x14ac:dyDescent="0.2">
      <c r="A474" s="87" t="str">
        <v>Example firms minneapolis</v>
      </c>
      <c r="B474" s="87" t="str">
        <v/>
      </c>
      <c r="G474" s="87">
        <v>0</v>
      </c>
      <c r="H474" s="87" t="str">
        <v/>
      </c>
    </row>
    <row r="475" spans="1:8" x14ac:dyDescent="0.2">
      <c r="A475" s="87" t="str">
        <v>true north capital management</v>
      </c>
      <c r="B475" s="87">
        <v>43</v>
      </c>
      <c r="G475" s="87">
        <v>0</v>
      </c>
      <c r="H475" s="87" t="str">
        <v/>
      </c>
    </row>
    <row r="476" spans="1:8" x14ac:dyDescent="0.2">
      <c r="A476" s="87" t="str">
        <v>estate tax planning software</v>
      </c>
      <c r="B476" s="87">
        <v>46</v>
      </c>
      <c r="G476" s="87">
        <v>0</v>
      </c>
      <c r="H476" s="87" t="str">
        <v/>
      </c>
    </row>
    <row r="477" spans="1:8" x14ac:dyDescent="0.2">
      <c r="A477" s="91" t="str">
        <v>Example-net.com</v>
      </c>
      <c r="B477" s="87" t="str">
        <v/>
      </c>
      <c r="G477" s="87">
        <v>0</v>
      </c>
      <c r="H477" s="87" t="str">
        <v/>
      </c>
    </row>
    <row r="478" spans="1:8" x14ac:dyDescent="0.2">
      <c r="A478" s="87" t="str">
        <v>who is ABC</v>
      </c>
      <c r="B478" s="87">
        <v>60</v>
      </c>
      <c r="G478" s="87">
        <v>0</v>
      </c>
      <c r="H478" s="87" t="str">
        <v/>
      </c>
    </row>
    <row r="479" spans="1:8" x14ac:dyDescent="0.2">
      <c r="A479" s="87" t="str">
        <v>fsa broker check</v>
      </c>
      <c r="B479" s="87">
        <v>63</v>
      </c>
      <c r="G479" s="87">
        <v>0</v>
      </c>
      <c r="H479" s="87" t="str">
        <v/>
      </c>
    </row>
    <row r="480" spans="1:8" x14ac:dyDescent="0.2">
      <c r="A480" s="87" t="str">
        <v>a type of stock that involves more risk</v>
      </c>
      <c r="B480" s="87">
        <v>69</v>
      </c>
      <c r="G480" s="87">
        <v>0</v>
      </c>
      <c r="H480" s="87" t="str">
        <v/>
      </c>
    </row>
    <row r="481" spans="1:8" x14ac:dyDescent="0.2">
      <c r="A481" s="87" t="str">
        <v>which is not a type of company that a socially responsible investor would support</v>
      </c>
      <c r="B481" s="87">
        <v>75</v>
      </c>
      <c r="G481" s="87">
        <v>0</v>
      </c>
      <c r="H481" s="87" t="str">
        <v/>
      </c>
    </row>
    <row r="482" spans="1:8" x14ac:dyDescent="0.2">
      <c r="A482" s="87" t="str">
        <v>mt eden investment advisors</v>
      </c>
      <c r="B482" s="87">
        <v>77</v>
      </c>
      <c r="G482" s="87">
        <v>0</v>
      </c>
      <c r="H482" s="87" t="str">
        <v/>
      </c>
    </row>
    <row r="483" spans="1:8" x14ac:dyDescent="0.2">
      <c r="A483" s="87" t="str">
        <v>stock market trends during election years</v>
      </c>
      <c r="B483" s="87">
        <v>79</v>
      </c>
      <c r="G483" s="87">
        <v>0</v>
      </c>
      <c r="H483" s="87" t="str">
        <v/>
      </c>
    </row>
    <row r="484" spans="1:8" x14ac:dyDescent="0.2">
      <c r="A484" s="87" t="str">
        <v>ABC times 20</v>
      </c>
      <c r="B484" s="87">
        <v>85</v>
      </c>
      <c r="G484" s="87">
        <v>0</v>
      </c>
      <c r="H484" s="87" t="str">
        <v/>
      </c>
    </row>
    <row r="485" spans="1:8" x14ac:dyDescent="0.2">
      <c r="A485" s="87" t="str">
        <v>Example services mn</v>
      </c>
      <c r="B485" s="87" t="str">
        <v/>
      </c>
      <c r="G485" s="87">
        <v>0</v>
      </c>
      <c r="H485" s="87" t="str">
        <v/>
      </c>
    </row>
    <row r="486" spans="1:8" x14ac:dyDescent="0.2">
      <c r="A486" s="87" t="str">
        <v>north capital inc</v>
      </c>
      <c r="B486" s="87">
        <v>86</v>
      </c>
      <c r="G486" s="87">
        <v>0</v>
      </c>
      <c r="H486" s="87" t="str">
        <v/>
      </c>
    </row>
    <row r="487" spans="1:8" x14ac:dyDescent="0.2">
      <c r="A487" s="87" t="str">
        <v>bill ellermeyer</v>
      </c>
      <c r="B487" s="87">
        <v>91</v>
      </c>
      <c r="G487" s="87">
        <v>0</v>
      </c>
      <c r="H487" s="87" t="str">
        <v/>
      </c>
    </row>
    <row r="488" spans="1:8" x14ac:dyDescent="0.2">
      <c r="A488" s="87" t="str">
        <v>alternative investment management and research</v>
      </c>
      <c r="B488" s="87" t="str">
        <v/>
      </c>
      <c r="G488" s="87">
        <v>0</v>
      </c>
      <c r="H488" s="87" t="str">
        <v/>
      </c>
    </row>
    <row r="489" spans="1:8" x14ac:dyDescent="0.2">
      <c r="A489" s="87" t="str">
        <v>alternative investment management symposium</v>
      </c>
      <c r="B489" s="87" t="str">
        <v/>
      </c>
      <c r="G489" s="87">
        <v>0</v>
      </c>
      <c r="H489" s="87" t="str">
        <v/>
      </c>
    </row>
    <row r="490" spans="1:8" x14ac:dyDescent="0.2">
      <c r="A490" s="87" t="str">
        <v>who is the best wealth management firm</v>
      </c>
      <c r="B490" s="87" t="str">
        <v/>
      </c>
      <c r="G490" s="87">
        <v>0</v>
      </c>
      <c r="H490" s="87" t="str">
        <v/>
      </c>
    </row>
    <row r="491" spans="1:8" x14ac:dyDescent="0.2">
      <c r="A491" s="87" t="str">
        <v>top estate planning questions</v>
      </c>
      <c r="B491" s="87" t="str">
        <v/>
      </c>
      <c r="G491" s="87">
        <v>0</v>
      </c>
      <c r="H491" s="87" t="str">
        <v/>
      </c>
    </row>
    <row r="492" spans="1:8" x14ac:dyDescent="0.2">
      <c r="A492" s="87" t="str">
        <v>top recruiter for wealth management</v>
      </c>
      <c r="B492" s="87" t="str">
        <v/>
      </c>
      <c r="G492" s="87">
        <v>0</v>
      </c>
      <c r="H492" s="87" t="str">
        <v/>
      </c>
    </row>
    <row r="493" spans="1:8" x14ac:dyDescent="0.2">
      <c r="A493" s="87" t="str">
        <v>wealth management vs private wealth management</v>
      </c>
      <c r="B493" s="87" t="str">
        <v/>
      </c>
      <c r="G493" s="87">
        <v>0</v>
      </c>
      <c r="H493" s="87" t="str">
        <v/>
      </c>
    </row>
    <row r="494" spans="1:8" x14ac:dyDescent="0.2">
      <c r="A494" s="87" t="str">
        <v>jeff thompson insurance</v>
      </c>
      <c r="B494" s="87">
        <v>12</v>
      </c>
      <c r="G494" s="87">
        <v>0</v>
      </c>
      <c r="H494" s="87" t="str">
        <v/>
      </c>
    </row>
    <row r="495" spans="1:8" x14ac:dyDescent="0.2">
      <c r="A495" s="87" t="str">
        <v>mike endall</v>
      </c>
      <c r="B495" s="87">
        <v>28</v>
      </c>
      <c r="G495" s="87">
        <v>0</v>
      </c>
      <c r="H495" s="87" t="str">
        <v/>
      </c>
    </row>
    <row r="496" spans="1:8" x14ac:dyDescent="0.2">
      <c r="A496" s="87" t="str">
        <v>ameriprise edina office</v>
      </c>
      <c r="B496" s="87">
        <v>37</v>
      </c>
      <c r="G496" s="87">
        <v>0</v>
      </c>
      <c r="H496" s="87" t="str">
        <v/>
      </c>
    </row>
    <row r="497" spans="1:8" x14ac:dyDescent="0.2">
      <c r="A497" s="87" t="str">
        <v>capital one ABC money market beneficiary</v>
      </c>
      <c r="B497" s="87">
        <v>59</v>
      </c>
      <c r="G497" s="87">
        <v>0</v>
      </c>
      <c r="H497" s="87" t="str">
        <v/>
      </c>
    </row>
    <row r="498" spans="1:8" x14ac:dyDescent="0.2">
      <c r="A498" s="87" t="str">
        <v>rift tips</v>
      </c>
      <c r="B498" s="87">
        <v>80</v>
      </c>
      <c r="G498" s="87">
        <v>0</v>
      </c>
      <c r="H498" s="87" t="str">
        <v/>
      </c>
    </row>
    <row r="499" spans="1:8" x14ac:dyDescent="0.2">
      <c r="A499" s="87" t="str">
        <v>what type of socially responsible fund would you invest in</v>
      </c>
      <c r="B499" s="87">
        <v>89</v>
      </c>
      <c r="G499" s="87">
        <v>0</v>
      </c>
      <c r="H499" s="87" t="str">
        <v/>
      </c>
    </row>
    <row r="500" spans="1:8" x14ac:dyDescent="0.2">
      <c r="B500" s="87" t="str">
        <v/>
      </c>
      <c r="G500" s="87">
        <v>0</v>
      </c>
      <c r="H500" s="87" t="str">
        <v/>
      </c>
    </row>
    <row r="501" spans="1:8" x14ac:dyDescent="0.2">
      <c r="B501" s="87" t="str">
        <v/>
      </c>
      <c r="G501" s="87">
        <v>0</v>
      </c>
      <c r="H501" s="87" t="str">
        <v/>
      </c>
    </row>
    <row r="502" spans="1:8" x14ac:dyDescent="0.2">
      <c r="B502" s="87" t="str">
        <v/>
      </c>
      <c r="G502" s="87">
        <v>0</v>
      </c>
      <c r="H502" s="87" t="str">
        <v/>
      </c>
    </row>
    <row r="503" spans="1:8" x14ac:dyDescent="0.2">
      <c r="B503" s="87" t="str">
        <v/>
      </c>
      <c r="G503" s="87">
        <v>0</v>
      </c>
      <c r="H503" s="87" t="str">
        <v/>
      </c>
    </row>
    <row r="504" spans="1:8" x14ac:dyDescent="0.2">
      <c r="B504" s="87" t="str">
        <v/>
      </c>
      <c r="G504" s="87">
        <v>0</v>
      </c>
      <c r="H504" s="87" t="str">
        <v/>
      </c>
    </row>
    <row r="505" spans="1:8" x14ac:dyDescent="0.2">
      <c r="B505" s="87" t="str">
        <v/>
      </c>
      <c r="G505" s="87">
        <v>0</v>
      </c>
      <c r="H505" s="87" t="str">
        <v/>
      </c>
    </row>
    <row r="506" spans="1:8" x14ac:dyDescent="0.2">
      <c r="B506" s="87" t="str">
        <v/>
      </c>
      <c r="G506" s="87">
        <v>0</v>
      </c>
      <c r="H506" s="87" t="str">
        <v/>
      </c>
    </row>
    <row r="507" spans="1:8" x14ac:dyDescent="0.2">
      <c r="B507" s="87" t="str">
        <v/>
      </c>
      <c r="G507" s="87">
        <v>0</v>
      </c>
      <c r="H507" s="87" t="str">
        <v/>
      </c>
    </row>
    <row r="508" spans="1:8" x14ac:dyDescent="0.2">
      <c r="B508" s="87" t="str">
        <v/>
      </c>
      <c r="G508" s="87">
        <v>0</v>
      </c>
      <c r="H508" s="87" t="str">
        <v/>
      </c>
    </row>
    <row r="509" spans="1:8" x14ac:dyDescent="0.2">
      <c r="B509" s="87" t="str">
        <v/>
      </c>
      <c r="G509" s="87">
        <v>0</v>
      </c>
      <c r="H509" s="87" t="str">
        <v/>
      </c>
    </row>
    <row r="510" spans="1:8" x14ac:dyDescent="0.2">
      <c r="B510" s="87" t="str">
        <v/>
      </c>
      <c r="G510" s="87">
        <v>0</v>
      </c>
      <c r="H510" s="87" t="str">
        <v/>
      </c>
    </row>
    <row r="511" spans="1:8" x14ac:dyDescent="0.2">
      <c r="B511" s="87" t="str">
        <v/>
      </c>
      <c r="G511" s="87">
        <v>0</v>
      </c>
      <c r="H511" s="87" t="str">
        <v/>
      </c>
    </row>
    <row r="512" spans="1:8" x14ac:dyDescent="0.2">
      <c r="B512" s="87" t="str">
        <v/>
      </c>
      <c r="G512" s="87">
        <v>0</v>
      </c>
      <c r="H512" s="87" t="str">
        <v/>
      </c>
    </row>
    <row r="513" spans="2:8" x14ac:dyDescent="0.2">
      <c r="B513" s="87" t="str">
        <v/>
      </c>
      <c r="G513" s="87">
        <v>0</v>
      </c>
      <c r="H513" s="87" t="str">
        <v/>
      </c>
    </row>
    <row r="514" spans="2:8" x14ac:dyDescent="0.2">
      <c r="B514" s="87" t="str">
        <v/>
      </c>
      <c r="G514" s="87">
        <v>0</v>
      </c>
      <c r="H514" s="87" t="str">
        <v/>
      </c>
    </row>
    <row r="515" spans="2:8" x14ac:dyDescent="0.2">
      <c r="B515" s="87" t="str">
        <v/>
      </c>
      <c r="G515" s="87">
        <v>0</v>
      </c>
      <c r="H515" s="87" t="str">
        <v/>
      </c>
    </row>
    <row r="516" spans="2:8" x14ac:dyDescent="0.2">
      <c r="B516" s="87" t="str">
        <v/>
      </c>
      <c r="G516" s="87">
        <v>0</v>
      </c>
      <c r="H516" s="87" t="str">
        <v/>
      </c>
    </row>
    <row r="517" spans="2:8" x14ac:dyDescent="0.2">
      <c r="B517" s="87" t="str">
        <v/>
      </c>
      <c r="G517" s="87">
        <v>0</v>
      </c>
      <c r="H517" s="87" t="str">
        <v/>
      </c>
    </row>
    <row r="518" spans="2:8" x14ac:dyDescent="0.2">
      <c r="B518" s="87" t="str">
        <v/>
      </c>
      <c r="G518" s="87">
        <v>0</v>
      </c>
      <c r="H518" s="87" t="str">
        <v/>
      </c>
    </row>
    <row r="519" spans="2:8" x14ac:dyDescent="0.2">
      <c r="B519" s="87" t="str">
        <v/>
      </c>
      <c r="G519" s="87">
        <v>0</v>
      </c>
      <c r="H519" s="87" t="str">
        <v/>
      </c>
    </row>
    <row r="520" spans="2:8" x14ac:dyDescent="0.2">
      <c r="B520" s="87" t="str">
        <v/>
      </c>
      <c r="G520" s="87">
        <v>0</v>
      </c>
      <c r="H520" s="87" t="str">
        <v/>
      </c>
    </row>
    <row r="521" spans="2:8" x14ac:dyDescent="0.2">
      <c r="B521" s="87" t="str">
        <v/>
      </c>
      <c r="G521" s="87">
        <v>0</v>
      </c>
      <c r="H521" s="87" t="str">
        <v/>
      </c>
    </row>
    <row r="522" spans="2:8" x14ac:dyDescent="0.2">
      <c r="B522" s="87" t="str">
        <v/>
      </c>
      <c r="G522" s="87">
        <v>0</v>
      </c>
      <c r="H522" s="87" t="str">
        <v/>
      </c>
    </row>
    <row r="523" spans="2:8" x14ac:dyDescent="0.2">
      <c r="B523" s="87" t="str">
        <v/>
      </c>
      <c r="G523" s="87">
        <v>0</v>
      </c>
      <c r="H523" s="87" t="str">
        <v/>
      </c>
    </row>
    <row r="524" spans="2:8" x14ac:dyDescent="0.2">
      <c r="B524" s="87" t="str">
        <v/>
      </c>
      <c r="G524" s="87">
        <v>0</v>
      </c>
      <c r="H524" s="87" t="str">
        <v/>
      </c>
    </row>
    <row r="525" spans="2:8" x14ac:dyDescent="0.2">
      <c r="B525" s="87" t="str">
        <v/>
      </c>
      <c r="G525" s="87">
        <v>0</v>
      </c>
      <c r="H525" s="87" t="str">
        <v/>
      </c>
    </row>
    <row r="526" spans="2:8" x14ac:dyDescent="0.2">
      <c r="B526" s="87" t="str">
        <v/>
      </c>
      <c r="G526" s="87">
        <v>0</v>
      </c>
      <c r="H526" s="87" t="str">
        <v/>
      </c>
    </row>
    <row r="527" spans="2:8" x14ac:dyDescent="0.2">
      <c r="B527" s="87" t="str">
        <v/>
      </c>
      <c r="G527" s="87">
        <v>0</v>
      </c>
      <c r="H527" s="87" t="str">
        <v/>
      </c>
    </row>
    <row r="528" spans="2:8" x14ac:dyDescent="0.2">
      <c r="B528" s="87" t="str">
        <v/>
      </c>
      <c r="G528" s="87">
        <v>0</v>
      </c>
      <c r="H528" s="87" t="str">
        <v/>
      </c>
    </row>
    <row r="529" spans="2:8" x14ac:dyDescent="0.2">
      <c r="B529" s="87" t="str">
        <v/>
      </c>
      <c r="G529" s="87">
        <v>0</v>
      </c>
      <c r="H529" s="87" t="str">
        <v/>
      </c>
    </row>
    <row r="530" spans="2:8" x14ac:dyDescent="0.2">
      <c r="B530" s="87" t="str">
        <v/>
      </c>
      <c r="G530" s="87">
        <v>0</v>
      </c>
      <c r="H530" s="87" t="str">
        <v/>
      </c>
    </row>
    <row r="531" spans="2:8" x14ac:dyDescent="0.2">
      <c r="B531" s="87" t="str">
        <v/>
      </c>
      <c r="G531" s="87">
        <v>0</v>
      </c>
      <c r="H531" s="87" t="str">
        <v/>
      </c>
    </row>
    <row r="532" spans="2:8" x14ac:dyDescent="0.2">
      <c r="B532" s="87" t="str">
        <v/>
      </c>
      <c r="G532" s="87">
        <v>0</v>
      </c>
      <c r="H532" s="87" t="str">
        <v/>
      </c>
    </row>
    <row r="533" spans="2:8" x14ac:dyDescent="0.2">
      <c r="B533" s="87" t="str">
        <v/>
      </c>
      <c r="G533" s="87">
        <v>0</v>
      </c>
      <c r="H533" s="87" t="str">
        <v/>
      </c>
    </row>
    <row r="534" spans="2:8" x14ac:dyDescent="0.2">
      <c r="B534" s="87" t="str">
        <v/>
      </c>
      <c r="G534" s="87">
        <v>0</v>
      </c>
      <c r="H534" s="87" t="str">
        <v/>
      </c>
    </row>
    <row r="535" spans="2:8" x14ac:dyDescent="0.2">
      <c r="B535" s="87" t="str">
        <v/>
      </c>
      <c r="G535" s="87">
        <v>0</v>
      </c>
      <c r="H535" s="87" t="str">
        <v/>
      </c>
    </row>
    <row r="536" spans="2:8" x14ac:dyDescent="0.2">
      <c r="B536" s="87" t="str">
        <v/>
      </c>
      <c r="G536" s="87">
        <v>0</v>
      </c>
      <c r="H536" s="87" t="str">
        <v/>
      </c>
    </row>
    <row r="537" spans="2:8" x14ac:dyDescent="0.2">
      <c r="B537" s="87" t="str">
        <v/>
      </c>
      <c r="G537" s="87">
        <v>0</v>
      </c>
      <c r="H537" s="87" t="str">
        <v/>
      </c>
    </row>
    <row r="538" spans="2:8" x14ac:dyDescent="0.2">
      <c r="B538" s="87" t="str">
        <v/>
      </c>
      <c r="G538" s="87">
        <v>0</v>
      </c>
      <c r="H538" s="87" t="str">
        <v/>
      </c>
    </row>
    <row r="539" spans="2:8" x14ac:dyDescent="0.2">
      <c r="B539" s="87" t="str">
        <v/>
      </c>
      <c r="G539" s="87">
        <v>0</v>
      </c>
      <c r="H539" s="87" t="str">
        <v/>
      </c>
    </row>
    <row r="540" spans="2:8" x14ac:dyDescent="0.2">
      <c r="B540" s="87" t="str">
        <v/>
      </c>
      <c r="G540" s="87">
        <v>0</v>
      </c>
      <c r="H540" s="87" t="str">
        <v/>
      </c>
    </row>
    <row r="541" spans="2:8" x14ac:dyDescent="0.2">
      <c r="B541" s="87" t="str">
        <v/>
      </c>
      <c r="G541" s="87">
        <v>0</v>
      </c>
      <c r="H541" s="87" t="str">
        <v/>
      </c>
    </row>
    <row r="542" spans="2:8" x14ac:dyDescent="0.2">
      <c r="B542" s="87" t="str">
        <v/>
      </c>
      <c r="G542" s="87">
        <v>0</v>
      </c>
      <c r="H542" s="87" t="str">
        <v/>
      </c>
    </row>
    <row r="543" spans="2:8" x14ac:dyDescent="0.2">
      <c r="B543" s="87" t="str">
        <v/>
      </c>
      <c r="G543" s="87">
        <v>0</v>
      </c>
      <c r="H543" s="87" t="str">
        <v/>
      </c>
    </row>
    <row r="544" spans="2:8" x14ac:dyDescent="0.2">
      <c r="B544" s="87" t="str">
        <v/>
      </c>
      <c r="G544" s="87">
        <v>0</v>
      </c>
      <c r="H544" s="87" t="str">
        <v/>
      </c>
    </row>
    <row r="545" spans="2:8" x14ac:dyDescent="0.2">
      <c r="B545" s="87" t="str">
        <v/>
      </c>
      <c r="G545" s="87">
        <v>0</v>
      </c>
      <c r="H545" s="87" t="str">
        <v/>
      </c>
    </row>
    <row r="546" spans="2:8" x14ac:dyDescent="0.2">
      <c r="B546" s="87" t="str">
        <v/>
      </c>
      <c r="G546" s="87">
        <v>0</v>
      </c>
      <c r="H546" s="87" t="str">
        <v/>
      </c>
    </row>
    <row r="547" spans="2:8" x14ac:dyDescent="0.2">
      <c r="B547" s="87" t="str">
        <v/>
      </c>
      <c r="G547" s="87">
        <v>0</v>
      </c>
      <c r="H547" s="87" t="str">
        <v/>
      </c>
    </row>
    <row r="548" spans="2:8" x14ac:dyDescent="0.2">
      <c r="B548" s="87" t="str">
        <v/>
      </c>
      <c r="G548" s="87">
        <v>0</v>
      </c>
      <c r="H548" s="87" t="str">
        <v/>
      </c>
    </row>
    <row r="549" spans="2:8" x14ac:dyDescent="0.2">
      <c r="B549" s="87" t="str">
        <v/>
      </c>
      <c r="G549" s="87">
        <v>0</v>
      </c>
      <c r="H549" s="87" t="str">
        <v/>
      </c>
    </row>
    <row r="550" spans="2:8" x14ac:dyDescent="0.2">
      <c r="B550" s="87" t="str">
        <v/>
      </c>
      <c r="G550" s="87">
        <v>0</v>
      </c>
      <c r="H550" s="87" t="str">
        <v/>
      </c>
    </row>
    <row r="551" spans="2:8" x14ac:dyDescent="0.2">
      <c r="B551" s="87" t="str">
        <v/>
      </c>
      <c r="G551" s="87">
        <v>0</v>
      </c>
      <c r="H551" s="87" t="str">
        <v/>
      </c>
    </row>
    <row r="552" spans="2:8" x14ac:dyDescent="0.2">
      <c r="B552" s="87" t="str">
        <v/>
      </c>
      <c r="G552" s="87">
        <v>0</v>
      </c>
      <c r="H552" s="87" t="str">
        <v/>
      </c>
    </row>
    <row r="553" spans="2:8" x14ac:dyDescent="0.2">
      <c r="B553" s="87" t="str">
        <v/>
      </c>
      <c r="G553" s="87">
        <v>0</v>
      </c>
      <c r="H553" s="87" t="str">
        <v/>
      </c>
    </row>
    <row r="554" spans="2:8" x14ac:dyDescent="0.2">
      <c r="B554" s="87" t="str">
        <v/>
      </c>
      <c r="G554" s="87">
        <v>0</v>
      </c>
      <c r="H554" s="87" t="str">
        <v/>
      </c>
    </row>
    <row r="555" spans="2:8" x14ac:dyDescent="0.2">
      <c r="B555" s="87" t="str">
        <v/>
      </c>
      <c r="G555" s="87">
        <v>0</v>
      </c>
      <c r="H555" s="87" t="str">
        <v/>
      </c>
    </row>
    <row r="556" spans="2:8" x14ac:dyDescent="0.2">
      <c r="B556" s="87" t="str">
        <v/>
      </c>
      <c r="G556" s="87">
        <v>0</v>
      </c>
      <c r="H556" s="87" t="str">
        <v/>
      </c>
    </row>
    <row r="557" spans="2:8" x14ac:dyDescent="0.2">
      <c r="B557" s="87" t="str">
        <v/>
      </c>
      <c r="G557" s="87">
        <v>0</v>
      </c>
      <c r="H557" s="87" t="str">
        <v/>
      </c>
    </row>
    <row r="558" spans="2:8" x14ac:dyDescent="0.2">
      <c r="B558" s="87" t="str">
        <v/>
      </c>
      <c r="G558" s="87">
        <v>0</v>
      </c>
      <c r="H558" s="87" t="str">
        <v/>
      </c>
    </row>
    <row r="559" spans="2:8" x14ac:dyDescent="0.2">
      <c r="B559" s="87" t="str">
        <v/>
      </c>
      <c r="G559" s="87">
        <v>0</v>
      </c>
      <c r="H559" s="87" t="str">
        <v/>
      </c>
    </row>
    <row r="560" spans="2:8" x14ac:dyDescent="0.2">
      <c r="B560" s="87" t="str">
        <v/>
      </c>
      <c r="G560" s="87">
        <v>0</v>
      </c>
      <c r="H560" s="87" t="str">
        <v/>
      </c>
    </row>
    <row r="561" spans="2:8" x14ac:dyDescent="0.2">
      <c r="B561" s="87" t="str">
        <v/>
      </c>
      <c r="G561" s="87">
        <v>0</v>
      </c>
      <c r="H561" s="87" t="str">
        <v/>
      </c>
    </row>
    <row r="562" spans="2:8" x14ac:dyDescent="0.2">
      <c r="B562" s="87" t="str">
        <v/>
      </c>
      <c r="G562" s="87">
        <v>0</v>
      </c>
      <c r="H562" s="87" t="str">
        <v/>
      </c>
    </row>
    <row r="563" spans="2:8" x14ac:dyDescent="0.2">
      <c r="B563" s="87" t="str">
        <v/>
      </c>
      <c r="G563" s="87">
        <v>0</v>
      </c>
      <c r="H563" s="87" t="str">
        <v/>
      </c>
    </row>
    <row r="564" spans="2:8" x14ac:dyDescent="0.2">
      <c r="B564" s="87" t="str">
        <v/>
      </c>
      <c r="G564" s="87">
        <v>0</v>
      </c>
      <c r="H564" s="87" t="str">
        <v/>
      </c>
    </row>
    <row r="565" spans="2:8" x14ac:dyDescent="0.2">
      <c r="B565" s="87" t="str">
        <v/>
      </c>
      <c r="G565" s="87">
        <v>0</v>
      </c>
      <c r="H565" s="87" t="str">
        <v/>
      </c>
    </row>
    <row r="566" spans="2:8" x14ac:dyDescent="0.2">
      <c r="B566" s="87" t="str">
        <v/>
      </c>
      <c r="G566" s="87">
        <v>0</v>
      </c>
      <c r="H566" s="87" t="str">
        <v/>
      </c>
    </row>
    <row r="567" spans="2:8" x14ac:dyDescent="0.2">
      <c r="B567" s="87" t="str">
        <v/>
      </c>
      <c r="G567" s="87">
        <v>0</v>
      </c>
      <c r="H567" s="87" t="str">
        <v/>
      </c>
    </row>
    <row r="568" spans="2:8" x14ac:dyDescent="0.2">
      <c r="B568" s="87" t="str">
        <v/>
      </c>
      <c r="G568" s="87">
        <v>0</v>
      </c>
      <c r="H568" s="87" t="str">
        <v/>
      </c>
    </row>
    <row r="569" spans="2:8" x14ac:dyDescent="0.2">
      <c r="B569" s="87" t="str">
        <v/>
      </c>
      <c r="G569" s="87">
        <v>0</v>
      </c>
      <c r="H569" s="87" t="str">
        <v/>
      </c>
    </row>
    <row r="570" spans="2:8" x14ac:dyDescent="0.2">
      <c r="B570" s="87" t="str">
        <v/>
      </c>
      <c r="G570" s="87">
        <v>0</v>
      </c>
      <c r="H570" s="87" t="str">
        <v/>
      </c>
    </row>
    <row r="571" spans="2:8" x14ac:dyDescent="0.2">
      <c r="B571" s="87" t="str">
        <v/>
      </c>
      <c r="G571" s="87">
        <v>0</v>
      </c>
      <c r="H571" s="87" t="str">
        <v/>
      </c>
    </row>
    <row r="572" spans="2:8" x14ac:dyDescent="0.2">
      <c r="B572" s="87" t="str">
        <v/>
      </c>
      <c r="G572" s="87">
        <v>0</v>
      </c>
      <c r="H572" s="87" t="str">
        <v/>
      </c>
    </row>
    <row r="573" spans="2:8" x14ac:dyDescent="0.2">
      <c r="B573" s="87" t="str">
        <v/>
      </c>
      <c r="G573" s="87">
        <v>0</v>
      </c>
      <c r="H573" s="87" t="str">
        <v/>
      </c>
    </row>
    <row r="574" spans="2:8" x14ac:dyDescent="0.2">
      <c r="B574" s="87" t="str">
        <v/>
      </c>
      <c r="G574" s="87">
        <v>0</v>
      </c>
      <c r="H574" s="87" t="str">
        <v/>
      </c>
    </row>
    <row r="575" spans="2:8" x14ac:dyDescent="0.2">
      <c r="B575" s="87" t="str">
        <v/>
      </c>
      <c r="G575" s="87">
        <v>0</v>
      </c>
      <c r="H575" s="87" t="str">
        <v/>
      </c>
    </row>
    <row r="576" spans="2:8" x14ac:dyDescent="0.2">
      <c r="B576" s="87" t="str">
        <v/>
      </c>
      <c r="G576" s="87">
        <v>0</v>
      </c>
      <c r="H576" s="87" t="str">
        <v/>
      </c>
    </row>
    <row r="577" spans="2:8" x14ac:dyDescent="0.2">
      <c r="B577" s="87" t="str">
        <v/>
      </c>
      <c r="G577" s="87">
        <v>0</v>
      </c>
      <c r="H577" s="87" t="str">
        <v/>
      </c>
    </row>
    <row r="578" spans="2:8" x14ac:dyDescent="0.2">
      <c r="B578" s="87" t="str">
        <v/>
      </c>
      <c r="G578" s="87">
        <v>0</v>
      </c>
      <c r="H578" s="87" t="str">
        <v/>
      </c>
    </row>
    <row r="579" spans="2:8" x14ac:dyDescent="0.2">
      <c r="B579" s="87" t="str">
        <v/>
      </c>
      <c r="G579" s="87">
        <v>0</v>
      </c>
      <c r="H579" s="87" t="str">
        <v/>
      </c>
    </row>
    <row r="580" spans="2:8" x14ac:dyDescent="0.2">
      <c r="B580" s="87" t="str">
        <v/>
      </c>
      <c r="G580" s="87">
        <v>0</v>
      </c>
      <c r="H580" s="87" t="str">
        <v/>
      </c>
    </row>
    <row r="581" spans="2:8" x14ac:dyDescent="0.2">
      <c r="B581" s="87" t="str">
        <v/>
      </c>
      <c r="G581" s="87">
        <v>0</v>
      </c>
      <c r="H581" s="87" t="str">
        <v/>
      </c>
    </row>
    <row r="582" spans="2:8" x14ac:dyDescent="0.2">
      <c r="B582" s="87" t="str">
        <v/>
      </c>
      <c r="G582" s="87">
        <v>0</v>
      </c>
      <c r="H582" s="87" t="str">
        <v/>
      </c>
    </row>
    <row r="583" spans="2:8" x14ac:dyDescent="0.2">
      <c r="B583" s="87" t="str">
        <v/>
      </c>
      <c r="G583" s="87">
        <v>0</v>
      </c>
      <c r="H583" s="87" t="str">
        <v/>
      </c>
    </row>
    <row r="584" spans="2:8" x14ac:dyDescent="0.2">
      <c r="B584" s="87" t="str">
        <v/>
      </c>
      <c r="G584" s="87">
        <v>0</v>
      </c>
      <c r="H584" s="87" t="str">
        <v/>
      </c>
    </row>
    <row r="585" spans="2:8" x14ac:dyDescent="0.2">
      <c r="B585" s="87" t="str">
        <v/>
      </c>
      <c r="G585" s="87">
        <v>0</v>
      </c>
      <c r="H585" s="87" t="str">
        <v/>
      </c>
    </row>
    <row r="586" spans="2:8" x14ac:dyDescent="0.2">
      <c r="B586" s="87" t="str">
        <v/>
      </c>
      <c r="G586" s="87">
        <v>0</v>
      </c>
      <c r="H586" s="87" t="str">
        <v/>
      </c>
    </row>
    <row r="587" spans="2:8" x14ac:dyDescent="0.2">
      <c r="B587" s="87" t="str">
        <v/>
      </c>
      <c r="G587" s="87">
        <v>0</v>
      </c>
      <c r="H587" s="87" t="str">
        <v/>
      </c>
    </row>
    <row r="588" spans="2:8" x14ac:dyDescent="0.2">
      <c r="B588" s="87" t="str">
        <v/>
      </c>
      <c r="G588" s="87">
        <v>0</v>
      </c>
      <c r="H588" s="87" t="str">
        <v/>
      </c>
    </row>
    <row r="589" spans="2:8" x14ac:dyDescent="0.2">
      <c r="B589" s="87" t="str">
        <v/>
      </c>
      <c r="G589" s="87">
        <v>0</v>
      </c>
      <c r="H589" s="87" t="str">
        <v/>
      </c>
    </row>
    <row r="590" spans="2:8" x14ac:dyDescent="0.2">
      <c r="B590" s="87" t="str">
        <v/>
      </c>
      <c r="G590" s="87">
        <v>0</v>
      </c>
      <c r="H590" s="87" t="str">
        <v/>
      </c>
    </row>
    <row r="591" spans="2:8" x14ac:dyDescent="0.2">
      <c r="B591" s="87" t="str">
        <v/>
      </c>
      <c r="G591" s="87">
        <v>0</v>
      </c>
      <c r="H591" s="87" t="str">
        <v/>
      </c>
    </row>
    <row r="592" spans="2:8" x14ac:dyDescent="0.2">
      <c r="B592" s="87" t="str">
        <v/>
      </c>
      <c r="G592" s="87">
        <v>0</v>
      </c>
      <c r="H592" s="87" t="str">
        <v/>
      </c>
    </row>
    <row r="593" spans="2:8" x14ac:dyDescent="0.2">
      <c r="B593" s="87" t="str">
        <v/>
      </c>
      <c r="G593" s="87">
        <v>0</v>
      </c>
      <c r="H593" s="87" t="str">
        <v/>
      </c>
    </row>
    <row r="594" spans="2:8" x14ac:dyDescent="0.2">
      <c r="B594" s="87" t="str">
        <v/>
      </c>
      <c r="G594" s="87">
        <v>0</v>
      </c>
      <c r="H594" s="87" t="str">
        <v/>
      </c>
    </row>
    <row r="595" spans="2:8" x14ac:dyDescent="0.2">
      <c r="B595" s="87" t="str">
        <v/>
      </c>
      <c r="G595" s="87">
        <v>0</v>
      </c>
      <c r="H595" s="87" t="str">
        <v/>
      </c>
    </row>
    <row r="596" spans="2:8" x14ac:dyDescent="0.2">
      <c r="B596" s="87" t="str">
        <v/>
      </c>
      <c r="G596" s="87">
        <v>0</v>
      </c>
      <c r="H596" s="87" t="str">
        <v/>
      </c>
    </row>
    <row r="597" spans="2:8" x14ac:dyDescent="0.2">
      <c r="B597" s="87" t="str">
        <v/>
      </c>
      <c r="G597" s="87">
        <v>0</v>
      </c>
      <c r="H597" s="87" t="str">
        <v/>
      </c>
    </row>
    <row r="598" spans="2:8" x14ac:dyDescent="0.2">
      <c r="B598" s="87" t="str">
        <v/>
      </c>
      <c r="G598" s="87">
        <v>0</v>
      </c>
      <c r="H598" s="87" t="str">
        <v/>
      </c>
    </row>
    <row r="599" spans="2:8" x14ac:dyDescent="0.2">
      <c r="B599" s="87" t="str">
        <v/>
      </c>
      <c r="G599" s="87">
        <v>0</v>
      </c>
      <c r="H599" s="87" t="str">
        <v/>
      </c>
    </row>
    <row r="600" spans="2:8" x14ac:dyDescent="0.2">
      <c r="B600" s="87" t="str">
        <v/>
      </c>
      <c r="G600" s="87">
        <v>0</v>
      </c>
      <c r="H600" s="87" t="str">
        <v/>
      </c>
    </row>
    <row r="601" spans="2:8" x14ac:dyDescent="0.2">
      <c r="B601" s="87" t="str">
        <v/>
      </c>
      <c r="G601" s="87">
        <v>0</v>
      </c>
      <c r="H601" s="87" t="str">
        <v/>
      </c>
    </row>
    <row r="602" spans="2:8" x14ac:dyDescent="0.2">
      <c r="B602" s="87" t="str">
        <v/>
      </c>
      <c r="G602" s="87">
        <v>0</v>
      </c>
      <c r="H602" s="87" t="str">
        <v/>
      </c>
    </row>
    <row r="603" spans="2:8" x14ac:dyDescent="0.2">
      <c r="B603" s="87" t="str">
        <v/>
      </c>
      <c r="G603" s="87">
        <v>0</v>
      </c>
      <c r="H603" s="87" t="str">
        <v/>
      </c>
    </row>
    <row r="604" spans="2:8" x14ac:dyDescent="0.2">
      <c r="B604" s="87" t="str">
        <v/>
      </c>
      <c r="G604" s="87">
        <v>0</v>
      </c>
      <c r="H604" s="87" t="str">
        <v/>
      </c>
    </row>
    <row r="605" spans="2:8" x14ac:dyDescent="0.2">
      <c r="B605" s="87" t="str">
        <v/>
      </c>
      <c r="G605" s="87">
        <v>0</v>
      </c>
      <c r="H605" s="87" t="str">
        <v/>
      </c>
    </row>
    <row r="606" spans="2:8" x14ac:dyDescent="0.2">
      <c r="B606" s="87" t="str">
        <v/>
      </c>
      <c r="G606" s="87">
        <v>0</v>
      </c>
      <c r="H606" s="87" t="str">
        <v/>
      </c>
    </row>
    <row r="607" spans="2:8" x14ac:dyDescent="0.2">
      <c r="B607" s="87" t="str">
        <v/>
      </c>
      <c r="G607" s="87">
        <v>0</v>
      </c>
      <c r="H607" s="87" t="str">
        <v/>
      </c>
    </row>
    <row r="608" spans="2:8" x14ac:dyDescent="0.2">
      <c r="B608" s="87" t="str">
        <v/>
      </c>
      <c r="G608" s="87">
        <v>0</v>
      </c>
      <c r="H608" s="87" t="str">
        <v/>
      </c>
    </row>
    <row r="609" spans="2:8" x14ac:dyDescent="0.2">
      <c r="B609" s="87" t="str">
        <v/>
      </c>
      <c r="G609" s="87">
        <v>0</v>
      </c>
      <c r="H609" s="87" t="str">
        <v/>
      </c>
    </row>
    <row r="610" spans="2:8" x14ac:dyDescent="0.2">
      <c r="B610" s="87" t="str">
        <v/>
      </c>
      <c r="G610" s="87">
        <v>0</v>
      </c>
      <c r="H610" s="87" t="str">
        <v/>
      </c>
    </row>
    <row r="611" spans="2:8" x14ac:dyDescent="0.2">
      <c r="B611" s="87" t="str">
        <v/>
      </c>
      <c r="G611" s="87">
        <v>0</v>
      </c>
      <c r="H611" s="87" t="str">
        <v/>
      </c>
    </row>
    <row r="612" spans="2:8" x14ac:dyDescent="0.2">
      <c r="B612" s="87" t="str">
        <v/>
      </c>
      <c r="G612" s="87">
        <v>0</v>
      </c>
      <c r="H612" s="87" t="str">
        <v/>
      </c>
    </row>
    <row r="613" spans="2:8" x14ac:dyDescent="0.2">
      <c r="B613" s="87" t="str">
        <v/>
      </c>
      <c r="G613" s="87">
        <v>0</v>
      </c>
      <c r="H613" s="87" t="str">
        <v/>
      </c>
    </row>
    <row r="614" spans="2:8" x14ac:dyDescent="0.2">
      <c r="B614" s="87" t="str">
        <v/>
      </c>
      <c r="G614" s="87">
        <v>0</v>
      </c>
      <c r="H614" s="87" t="str">
        <v/>
      </c>
    </row>
    <row r="615" spans="2:8" x14ac:dyDescent="0.2">
      <c r="B615" s="87" t="str">
        <v/>
      </c>
      <c r="G615" s="87">
        <v>0</v>
      </c>
      <c r="H615" s="87" t="str">
        <v/>
      </c>
    </row>
    <row r="616" spans="2:8" x14ac:dyDescent="0.2">
      <c r="B616" s="87" t="str">
        <v/>
      </c>
      <c r="G616" s="87">
        <v>0</v>
      </c>
      <c r="H616" s="87" t="str">
        <v/>
      </c>
    </row>
    <row r="617" spans="2:8" x14ac:dyDescent="0.2">
      <c r="B617" s="87" t="str">
        <v/>
      </c>
      <c r="G617" s="87">
        <v>0</v>
      </c>
      <c r="H617" s="87" t="str">
        <v/>
      </c>
    </row>
    <row r="618" spans="2:8" x14ac:dyDescent="0.2">
      <c r="B618" s="87" t="str">
        <v/>
      </c>
      <c r="G618" s="87">
        <v>0</v>
      </c>
      <c r="H618" s="87" t="str">
        <v/>
      </c>
    </row>
    <row r="619" spans="2:8" x14ac:dyDescent="0.2">
      <c r="B619" s="87" t="str">
        <v/>
      </c>
      <c r="G619" s="87">
        <v>0</v>
      </c>
      <c r="H619" s="87" t="str">
        <v/>
      </c>
    </row>
    <row r="620" spans="2:8" x14ac:dyDescent="0.2">
      <c r="B620" s="87" t="str">
        <v/>
      </c>
      <c r="G620" s="87">
        <v>0</v>
      </c>
      <c r="H620" s="87" t="str">
        <v/>
      </c>
    </row>
    <row r="621" spans="2:8" x14ac:dyDescent="0.2">
      <c r="B621" s="87" t="str">
        <v/>
      </c>
      <c r="G621" s="87">
        <v>0</v>
      </c>
      <c r="H621" s="87" t="str">
        <v/>
      </c>
    </row>
    <row r="622" spans="2:8" x14ac:dyDescent="0.2">
      <c r="B622" s="87" t="str">
        <v/>
      </c>
      <c r="G622" s="87">
        <v>0</v>
      </c>
      <c r="H622" s="87" t="str">
        <v/>
      </c>
    </row>
    <row r="623" spans="2:8" x14ac:dyDescent="0.2">
      <c r="B623" s="87" t="str">
        <v/>
      </c>
      <c r="G623" s="87">
        <v>0</v>
      </c>
      <c r="H623" s="87" t="str">
        <v/>
      </c>
    </row>
    <row r="624" spans="2:8" x14ac:dyDescent="0.2">
      <c r="B624" s="87" t="str">
        <v/>
      </c>
      <c r="G624" s="87">
        <v>0</v>
      </c>
      <c r="H624" s="87" t="str">
        <v/>
      </c>
    </row>
    <row r="625" spans="2:8" x14ac:dyDescent="0.2">
      <c r="B625" s="87" t="str">
        <v/>
      </c>
      <c r="G625" s="87">
        <v>0</v>
      </c>
      <c r="H625" s="87" t="str">
        <v/>
      </c>
    </row>
    <row r="626" spans="2:8" x14ac:dyDescent="0.2">
      <c r="B626" s="87" t="str">
        <v/>
      </c>
      <c r="G626" s="87">
        <v>0</v>
      </c>
      <c r="H626" s="87" t="str">
        <v/>
      </c>
    </row>
    <row r="627" spans="2:8" x14ac:dyDescent="0.2">
      <c r="B627" s="87" t="str">
        <v/>
      </c>
      <c r="G627" s="87">
        <v>0</v>
      </c>
      <c r="H627" s="87" t="str">
        <v/>
      </c>
    </row>
    <row r="628" spans="2:8" x14ac:dyDescent="0.2">
      <c r="B628" s="87" t="str">
        <v/>
      </c>
      <c r="G628" s="87">
        <v>0</v>
      </c>
      <c r="H628" s="87" t="str">
        <v/>
      </c>
    </row>
    <row r="629" spans="2:8" x14ac:dyDescent="0.2">
      <c r="B629" s="87" t="str">
        <v/>
      </c>
      <c r="G629" s="87">
        <v>0</v>
      </c>
      <c r="H629" s="87" t="str">
        <v/>
      </c>
    </row>
    <row r="630" spans="2:8" x14ac:dyDescent="0.2">
      <c r="B630" s="87" t="str">
        <v/>
      </c>
      <c r="G630" s="87">
        <v>0</v>
      </c>
      <c r="H630" s="87" t="str">
        <v/>
      </c>
    </row>
    <row r="631" spans="2:8" x14ac:dyDescent="0.2">
      <c r="B631" s="87" t="str">
        <v/>
      </c>
      <c r="G631" s="87">
        <v>0</v>
      </c>
      <c r="H631" s="87" t="str">
        <v/>
      </c>
    </row>
    <row r="632" spans="2:8" x14ac:dyDescent="0.2">
      <c r="B632" s="87" t="str">
        <v/>
      </c>
      <c r="G632" s="87">
        <v>0</v>
      </c>
      <c r="H632" s="87" t="str">
        <v/>
      </c>
    </row>
    <row r="633" spans="2:8" x14ac:dyDescent="0.2">
      <c r="B633" s="87" t="str">
        <v/>
      </c>
      <c r="G633" s="87">
        <v>0</v>
      </c>
      <c r="H633" s="87" t="str">
        <v/>
      </c>
    </row>
    <row r="634" spans="2:8" x14ac:dyDescent="0.2">
      <c r="B634" s="87" t="str">
        <v/>
      </c>
      <c r="G634" s="87">
        <v>0</v>
      </c>
      <c r="H634" s="87" t="str">
        <v/>
      </c>
    </row>
    <row r="635" spans="2:8" x14ac:dyDescent="0.2">
      <c r="B635" s="87" t="str">
        <v/>
      </c>
      <c r="G635" s="87">
        <v>0</v>
      </c>
      <c r="H635" s="87" t="str">
        <v/>
      </c>
    </row>
    <row r="636" spans="2:8" x14ac:dyDescent="0.2">
      <c r="B636" s="87" t="str">
        <v/>
      </c>
      <c r="G636" s="87">
        <v>0</v>
      </c>
      <c r="H636" s="87" t="str">
        <v/>
      </c>
    </row>
    <row r="637" spans="2:8" x14ac:dyDescent="0.2">
      <c r="B637" s="87" t="str">
        <v/>
      </c>
      <c r="G637" s="87">
        <v>0</v>
      </c>
      <c r="H637" s="87" t="str">
        <v/>
      </c>
    </row>
    <row r="638" spans="2:8" x14ac:dyDescent="0.2">
      <c r="B638" s="87" t="str">
        <v/>
      </c>
      <c r="G638" s="87">
        <v>0</v>
      </c>
      <c r="H638" s="87" t="str">
        <v/>
      </c>
    </row>
    <row r="639" spans="2:8" x14ac:dyDescent="0.2">
      <c r="B639" s="87" t="str">
        <v/>
      </c>
      <c r="G639" s="87">
        <v>0</v>
      </c>
      <c r="H639" s="87" t="str">
        <v/>
      </c>
    </row>
    <row r="640" spans="2:8" x14ac:dyDescent="0.2">
      <c r="B640" s="87" t="str">
        <v/>
      </c>
      <c r="G640" s="87">
        <v>0</v>
      </c>
      <c r="H640" s="87" t="str">
        <v/>
      </c>
    </row>
    <row r="641" spans="2:8" x14ac:dyDescent="0.2">
      <c r="B641" s="87" t="str">
        <v/>
      </c>
      <c r="G641" s="87">
        <v>0</v>
      </c>
      <c r="H641" s="87" t="str">
        <v/>
      </c>
    </row>
    <row r="642" spans="2:8" x14ac:dyDescent="0.2">
      <c r="B642" s="87" t="str">
        <v/>
      </c>
      <c r="G642" s="87">
        <v>0</v>
      </c>
      <c r="H642" s="87" t="str">
        <v/>
      </c>
    </row>
    <row r="643" spans="2:8" x14ac:dyDescent="0.2">
      <c r="B643" s="87" t="str">
        <v/>
      </c>
      <c r="G643" s="87">
        <v>0</v>
      </c>
      <c r="H643" s="87" t="str">
        <v/>
      </c>
    </row>
    <row r="644" spans="2:8" x14ac:dyDescent="0.2">
      <c r="B644" s="87" t="str">
        <v/>
      </c>
      <c r="G644" s="87">
        <v>0</v>
      </c>
      <c r="H644" s="87" t="str">
        <v/>
      </c>
    </row>
    <row r="645" spans="2:8" x14ac:dyDescent="0.2">
      <c r="B645" s="87" t="str">
        <v/>
      </c>
      <c r="G645" s="87">
        <v>0</v>
      </c>
      <c r="H645" s="87" t="str">
        <v/>
      </c>
    </row>
    <row r="646" spans="2:8" x14ac:dyDescent="0.2">
      <c r="B646" s="87" t="str">
        <v/>
      </c>
      <c r="G646" s="87">
        <v>0</v>
      </c>
      <c r="H646" s="87" t="str">
        <v/>
      </c>
    </row>
    <row r="647" spans="2:8" x14ac:dyDescent="0.2">
      <c r="B647" s="87" t="str">
        <v/>
      </c>
      <c r="G647" s="87">
        <v>0</v>
      </c>
      <c r="H647" s="87" t="str">
        <v/>
      </c>
    </row>
    <row r="648" spans="2:8" x14ac:dyDescent="0.2">
      <c r="B648" s="87" t="str">
        <v/>
      </c>
      <c r="G648" s="87">
        <v>0</v>
      </c>
      <c r="H648" s="87" t="str">
        <v/>
      </c>
    </row>
    <row r="649" spans="2:8" x14ac:dyDescent="0.2">
      <c r="B649" s="87" t="str">
        <v/>
      </c>
      <c r="G649" s="87">
        <v>0</v>
      </c>
      <c r="H649" s="87" t="str">
        <v/>
      </c>
    </row>
    <row r="650" spans="2:8" x14ac:dyDescent="0.2">
      <c r="B650" s="87" t="str">
        <v/>
      </c>
      <c r="G650" s="87">
        <v>0</v>
      </c>
      <c r="H650" s="87" t="str">
        <v/>
      </c>
    </row>
    <row r="651" spans="2:8" x14ac:dyDescent="0.2">
      <c r="B651" s="87" t="str">
        <v/>
      </c>
      <c r="G651" s="87">
        <v>0</v>
      </c>
      <c r="H651" s="87" t="str">
        <v/>
      </c>
    </row>
    <row r="652" spans="2:8" x14ac:dyDescent="0.2">
      <c r="B652" s="87" t="str">
        <v/>
      </c>
      <c r="G652" s="87">
        <v>0</v>
      </c>
      <c r="H652" s="87" t="str">
        <v/>
      </c>
    </row>
    <row r="653" spans="2:8" x14ac:dyDescent="0.2">
      <c r="B653" s="87" t="str">
        <v/>
      </c>
      <c r="G653" s="87">
        <v>0</v>
      </c>
      <c r="H653" s="87" t="str">
        <v/>
      </c>
    </row>
    <row r="654" spans="2:8" x14ac:dyDescent="0.2">
      <c r="B654" s="87" t="str">
        <v/>
      </c>
      <c r="G654" s="87">
        <v>0</v>
      </c>
      <c r="H654" s="87" t="str">
        <v/>
      </c>
    </row>
    <row r="655" spans="2:8" x14ac:dyDescent="0.2">
      <c r="B655" s="87" t="str">
        <v/>
      </c>
      <c r="G655" s="87">
        <v>0</v>
      </c>
      <c r="H655" s="87" t="str">
        <v/>
      </c>
    </row>
    <row r="656" spans="2:8" x14ac:dyDescent="0.2">
      <c r="B656" s="87" t="str">
        <v/>
      </c>
      <c r="G656" s="87">
        <v>0</v>
      </c>
      <c r="H656" s="87" t="str">
        <v/>
      </c>
    </row>
    <row r="657" spans="2:8" x14ac:dyDescent="0.2">
      <c r="B657" s="87" t="str">
        <v/>
      </c>
      <c r="G657" s="87">
        <v>0</v>
      </c>
      <c r="H657" s="87" t="str">
        <v/>
      </c>
    </row>
    <row r="658" spans="2:8" x14ac:dyDescent="0.2">
      <c r="B658" s="87" t="str">
        <v/>
      </c>
      <c r="G658" s="87">
        <v>0</v>
      </c>
      <c r="H658" s="87" t="str">
        <v/>
      </c>
    </row>
    <row r="659" spans="2:8" x14ac:dyDescent="0.2">
      <c r="B659" s="87" t="str">
        <v/>
      </c>
      <c r="G659" s="87">
        <v>0</v>
      </c>
      <c r="H659" s="87" t="str">
        <v/>
      </c>
    </row>
    <row r="660" spans="2:8" x14ac:dyDescent="0.2">
      <c r="B660" s="87" t="str">
        <v/>
      </c>
      <c r="G660" s="87">
        <v>0</v>
      </c>
      <c r="H660" s="87" t="str">
        <v/>
      </c>
    </row>
    <row r="661" spans="2:8" x14ac:dyDescent="0.2">
      <c r="B661" s="87" t="str">
        <v/>
      </c>
      <c r="G661" s="87">
        <v>0</v>
      </c>
      <c r="H661" s="87" t="str">
        <v/>
      </c>
    </row>
    <row r="662" spans="2:8" x14ac:dyDescent="0.2">
      <c r="B662" s="87" t="str">
        <v/>
      </c>
      <c r="G662" s="87">
        <v>0</v>
      </c>
      <c r="H662" s="87" t="str">
        <v/>
      </c>
    </row>
    <row r="663" spans="2:8" x14ac:dyDescent="0.2">
      <c r="B663" s="87" t="str">
        <v/>
      </c>
      <c r="G663" s="87">
        <v>0</v>
      </c>
      <c r="H663" s="87" t="str">
        <v/>
      </c>
    </row>
    <row r="664" spans="2:8" x14ac:dyDescent="0.2">
      <c r="B664" s="87" t="str">
        <v/>
      </c>
      <c r="G664" s="87">
        <v>0</v>
      </c>
      <c r="H664" s="87" t="str">
        <v/>
      </c>
    </row>
    <row r="665" spans="2:8" x14ac:dyDescent="0.2">
      <c r="B665" s="87" t="str">
        <v/>
      </c>
      <c r="G665" s="87">
        <v>0</v>
      </c>
      <c r="H665" s="87" t="str">
        <v/>
      </c>
    </row>
    <row r="666" spans="2:8" x14ac:dyDescent="0.2">
      <c r="B666" s="87" t="str">
        <v/>
      </c>
      <c r="G666" s="87">
        <v>0</v>
      </c>
      <c r="H666" s="87" t="str">
        <v/>
      </c>
    </row>
    <row r="667" spans="2:8" x14ac:dyDescent="0.2">
      <c r="B667" s="87" t="str">
        <v/>
      </c>
      <c r="G667" s="87">
        <v>0</v>
      </c>
      <c r="H667" s="87" t="str">
        <v/>
      </c>
    </row>
    <row r="668" spans="2:8" x14ac:dyDescent="0.2">
      <c r="B668" s="87" t="str">
        <v/>
      </c>
      <c r="G668" s="87">
        <v>0</v>
      </c>
      <c r="H668" s="87" t="str">
        <v/>
      </c>
    </row>
    <row r="669" spans="2:8" x14ac:dyDescent="0.2">
      <c r="B669" s="87" t="str">
        <v/>
      </c>
      <c r="G669" s="87">
        <v>0</v>
      </c>
      <c r="H669" s="87" t="str">
        <v/>
      </c>
    </row>
    <row r="670" spans="2:8" x14ac:dyDescent="0.2">
      <c r="B670" s="87" t="str">
        <v/>
      </c>
      <c r="G670" s="87">
        <v>0</v>
      </c>
      <c r="H670" s="87" t="str">
        <v/>
      </c>
    </row>
    <row r="671" spans="2:8" x14ac:dyDescent="0.2">
      <c r="B671" s="87" t="str">
        <v/>
      </c>
      <c r="G671" s="87">
        <v>0</v>
      </c>
      <c r="H671" s="87" t="str">
        <v/>
      </c>
    </row>
    <row r="672" spans="2:8" x14ac:dyDescent="0.2">
      <c r="B672" s="87" t="str">
        <v/>
      </c>
      <c r="G672" s="87">
        <v>0</v>
      </c>
      <c r="H672" s="87" t="str">
        <v/>
      </c>
    </row>
    <row r="673" spans="2:8" x14ac:dyDescent="0.2">
      <c r="B673" s="87" t="str">
        <v/>
      </c>
      <c r="G673" s="87">
        <v>0</v>
      </c>
      <c r="H673" s="87" t="str">
        <v/>
      </c>
    </row>
    <row r="674" spans="2:8" x14ac:dyDescent="0.2">
      <c r="B674" s="87" t="str">
        <v/>
      </c>
      <c r="G674" s="87">
        <v>0</v>
      </c>
      <c r="H674" s="87" t="str">
        <v/>
      </c>
    </row>
    <row r="675" spans="2:8" x14ac:dyDescent="0.2">
      <c r="B675" s="87" t="str">
        <v/>
      </c>
      <c r="G675" s="87">
        <v>0</v>
      </c>
      <c r="H675" s="87" t="str">
        <v/>
      </c>
    </row>
    <row r="676" spans="2:8" x14ac:dyDescent="0.2">
      <c r="B676" s="87" t="str">
        <v/>
      </c>
      <c r="G676" s="87">
        <v>0</v>
      </c>
      <c r="H676" s="87" t="str">
        <v/>
      </c>
    </row>
    <row r="677" spans="2:8" x14ac:dyDescent="0.2">
      <c r="B677" s="87" t="str">
        <v/>
      </c>
      <c r="G677" s="87">
        <v>0</v>
      </c>
      <c r="H677" s="87" t="str">
        <v/>
      </c>
    </row>
    <row r="678" spans="2:8" x14ac:dyDescent="0.2">
      <c r="B678" s="87" t="str">
        <v/>
      </c>
      <c r="G678" s="87">
        <v>0</v>
      </c>
      <c r="H678" s="87" t="str">
        <v/>
      </c>
    </row>
    <row r="679" spans="2:8" x14ac:dyDescent="0.2">
      <c r="B679" s="87" t="str">
        <v/>
      </c>
      <c r="G679" s="87">
        <v>0</v>
      </c>
      <c r="H679" s="87" t="str">
        <v/>
      </c>
    </row>
    <row r="680" spans="2:8" x14ac:dyDescent="0.2">
      <c r="B680" s="87" t="str">
        <v/>
      </c>
      <c r="G680" s="87">
        <v>0</v>
      </c>
      <c r="H680" s="87" t="str">
        <v/>
      </c>
    </row>
    <row r="681" spans="2:8" x14ac:dyDescent="0.2">
      <c r="B681" s="87" t="str">
        <v/>
      </c>
      <c r="G681" s="87">
        <v>0</v>
      </c>
      <c r="H681" s="87" t="str">
        <v/>
      </c>
    </row>
    <row r="682" spans="2:8" x14ac:dyDescent="0.2">
      <c r="B682" s="87" t="str">
        <v/>
      </c>
      <c r="G682" s="87">
        <v>0</v>
      </c>
      <c r="H682" s="87" t="str">
        <v/>
      </c>
    </row>
    <row r="683" spans="2:8" x14ac:dyDescent="0.2">
      <c r="B683" s="87" t="str">
        <v/>
      </c>
      <c r="G683" s="87">
        <v>0</v>
      </c>
      <c r="H683" s="87" t="str">
        <v/>
      </c>
    </row>
    <row r="684" spans="2:8" x14ac:dyDescent="0.2">
      <c r="B684" s="87" t="str">
        <v/>
      </c>
      <c r="G684" s="87">
        <v>0</v>
      </c>
      <c r="H684" s="87" t="str">
        <v/>
      </c>
    </row>
    <row r="685" spans="2:8" x14ac:dyDescent="0.2">
      <c r="B685" s="87" t="str">
        <v/>
      </c>
      <c r="G685" s="87">
        <v>0</v>
      </c>
      <c r="H685" s="87" t="str">
        <v/>
      </c>
    </row>
    <row r="686" spans="2:8" x14ac:dyDescent="0.2">
      <c r="B686" s="87" t="str">
        <v/>
      </c>
      <c r="G686" s="87">
        <v>0</v>
      </c>
      <c r="H686" s="87" t="str">
        <v/>
      </c>
    </row>
    <row r="687" spans="2:8" x14ac:dyDescent="0.2">
      <c r="B687" s="87" t="str">
        <v/>
      </c>
      <c r="G687" s="87">
        <v>0</v>
      </c>
      <c r="H687" s="87" t="str">
        <v/>
      </c>
    </row>
    <row r="688" spans="2:8" x14ac:dyDescent="0.2">
      <c r="B688" s="87" t="str">
        <v/>
      </c>
      <c r="G688" s="87">
        <v>0</v>
      </c>
      <c r="H688" s="87" t="str">
        <v/>
      </c>
    </row>
    <row r="689" spans="2:8" x14ac:dyDescent="0.2">
      <c r="B689" s="87" t="str">
        <v/>
      </c>
      <c r="G689" s="87">
        <v>0</v>
      </c>
      <c r="H689" s="87" t="str">
        <v/>
      </c>
    </row>
    <row r="690" spans="2:8" x14ac:dyDescent="0.2">
      <c r="B690" s="87" t="str">
        <v/>
      </c>
      <c r="G690" s="87">
        <v>0</v>
      </c>
      <c r="H690" s="87" t="str">
        <v/>
      </c>
    </row>
    <row r="691" spans="2:8" x14ac:dyDescent="0.2">
      <c r="B691" s="87" t="str">
        <v/>
      </c>
      <c r="G691" s="87">
        <v>0</v>
      </c>
      <c r="H691" s="87" t="str">
        <v/>
      </c>
    </row>
    <row r="692" spans="2:8" x14ac:dyDescent="0.2">
      <c r="B692" s="87" t="str">
        <v/>
      </c>
      <c r="G692" s="87">
        <v>0</v>
      </c>
      <c r="H692" s="87" t="str">
        <v/>
      </c>
    </row>
    <row r="693" spans="2:8" x14ac:dyDescent="0.2">
      <c r="B693" s="87" t="str">
        <v/>
      </c>
      <c r="G693" s="87">
        <v>0</v>
      </c>
      <c r="H693" s="87" t="str">
        <v/>
      </c>
    </row>
    <row r="694" spans="2:8" x14ac:dyDescent="0.2">
      <c r="B694" s="87" t="str">
        <v/>
      </c>
      <c r="G694" s="87">
        <v>0</v>
      </c>
      <c r="H694" s="87" t="str">
        <v/>
      </c>
    </row>
    <row r="695" spans="2:8" x14ac:dyDescent="0.2">
      <c r="B695" s="87" t="str">
        <v/>
      </c>
      <c r="G695" s="87">
        <v>0</v>
      </c>
      <c r="H695" s="87" t="str">
        <v/>
      </c>
    </row>
    <row r="696" spans="2:8" x14ac:dyDescent="0.2">
      <c r="B696" s="87" t="str">
        <v/>
      </c>
      <c r="G696" s="87">
        <v>0</v>
      </c>
      <c r="H696" s="87" t="str">
        <v/>
      </c>
    </row>
    <row r="697" spans="2:8" x14ac:dyDescent="0.2">
      <c r="B697" s="87" t="str">
        <v/>
      </c>
      <c r="G697" s="87">
        <v>0</v>
      </c>
      <c r="H697" s="87" t="str">
        <v/>
      </c>
    </row>
    <row r="698" spans="2:8" x14ac:dyDescent="0.2">
      <c r="B698" s="87" t="str">
        <v/>
      </c>
      <c r="G698" s="87">
        <v>0</v>
      </c>
      <c r="H698" s="87" t="str">
        <v/>
      </c>
    </row>
    <row r="699" spans="2:8" x14ac:dyDescent="0.2">
      <c r="B699" s="87" t="str">
        <v/>
      </c>
      <c r="G699" s="87">
        <v>0</v>
      </c>
      <c r="H699" s="87" t="str">
        <v/>
      </c>
    </row>
    <row r="700" spans="2:8" x14ac:dyDescent="0.2">
      <c r="B700" s="87" t="str">
        <v/>
      </c>
      <c r="G700" s="87">
        <v>0</v>
      </c>
      <c r="H700" s="87" t="str">
        <v/>
      </c>
    </row>
    <row r="701" spans="2:8" x14ac:dyDescent="0.2">
      <c r="B701" s="87" t="str">
        <v/>
      </c>
      <c r="G701" s="87">
        <v>0</v>
      </c>
      <c r="H701" s="87" t="str">
        <v/>
      </c>
    </row>
    <row r="702" spans="2:8" x14ac:dyDescent="0.2">
      <c r="B702" s="87" t="str">
        <v/>
      </c>
      <c r="G702" s="87">
        <v>0</v>
      </c>
      <c r="H702" s="87" t="str">
        <v/>
      </c>
    </row>
    <row r="703" spans="2:8" x14ac:dyDescent="0.2">
      <c r="B703" s="87" t="str">
        <v/>
      </c>
      <c r="G703" s="87">
        <v>0</v>
      </c>
      <c r="H703" s="87" t="str">
        <v/>
      </c>
    </row>
    <row r="704" spans="2:8" x14ac:dyDescent="0.2">
      <c r="B704" s="87" t="str">
        <v/>
      </c>
      <c r="G704" s="87">
        <v>0</v>
      </c>
      <c r="H704" s="87" t="str">
        <v/>
      </c>
    </row>
    <row r="705" spans="2:8" x14ac:dyDescent="0.2">
      <c r="B705" s="87" t="str">
        <v/>
      </c>
      <c r="G705" s="87">
        <v>0</v>
      </c>
      <c r="H705" s="87" t="str">
        <v/>
      </c>
    </row>
    <row r="706" spans="2:8" x14ac:dyDescent="0.2">
      <c r="B706" s="87" t="str">
        <v/>
      </c>
      <c r="G706" s="87">
        <v>0</v>
      </c>
      <c r="H706" s="87" t="str">
        <v/>
      </c>
    </row>
    <row r="707" spans="2:8" x14ac:dyDescent="0.2">
      <c r="B707" s="87" t="str">
        <v/>
      </c>
      <c r="G707" s="87">
        <v>0</v>
      </c>
      <c r="H707" s="87" t="str">
        <v/>
      </c>
    </row>
    <row r="708" spans="2:8" x14ac:dyDescent="0.2">
      <c r="B708" s="87" t="str">
        <v/>
      </c>
      <c r="G708" s="87">
        <v>0</v>
      </c>
      <c r="H708" s="87" t="str">
        <v/>
      </c>
    </row>
    <row r="709" spans="2:8" x14ac:dyDescent="0.2">
      <c r="B709" s="87" t="str">
        <v/>
      </c>
      <c r="G709" s="87">
        <v>0</v>
      </c>
      <c r="H709" s="87" t="str">
        <v/>
      </c>
    </row>
    <row r="710" spans="2:8" x14ac:dyDescent="0.2">
      <c r="B710" s="87" t="str">
        <v/>
      </c>
      <c r="G710" s="87">
        <v>0</v>
      </c>
      <c r="H710" s="87" t="str">
        <v/>
      </c>
    </row>
    <row r="711" spans="2:8" x14ac:dyDescent="0.2">
      <c r="B711" s="87" t="str">
        <v/>
      </c>
      <c r="G711" s="87">
        <v>0</v>
      </c>
      <c r="H711" s="87" t="str">
        <v/>
      </c>
    </row>
    <row r="712" spans="2:8" x14ac:dyDescent="0.2">
      <c r="B712" s="87" t="str">
        <v/>
      </c>
      <c r="G712" s="87">
        <v>0</v>
      </c>
      <c r="H712" s="87" t="str">
        <v/>
      </c>
    </row>
    <row r="713" spans="2:8" x14ac:dyDescent="0.2">
      <c r="B713" s="87" t="str">
        <v/>
      </c>
      <c r="G713" s="87">
        <v>0</v>
      </c>
      <c r="H713" s="87" t="str">
        <v/>
      </c>
    </row>
    <row r="714" spans="2:8" x14ac:dyDescent="0.2">
      <c r="B714" s="87" t="str">
        <v/>
      </c>
      <c r="G714" s="87">
        <v>0</v>
      </c>
      <c r="H714" s="87" t="str">
        <v/>
      </c>
    </row>
    <row r="715" spans="2:8" x14ac:dyDescent="0.2">
      <c r="B715" s="87" t="str">
        <v/>
      </c>
      <c r="G715" s="87">
        <v>0</v>
      </c>
      <c r="H715" s="87" t="str">
        <v/>
      </c>
    </row>
    <row r="716" spans="2:8" x14ac:dyDescent="0.2">
      <c r="B716" s="87" t="str">
        <v/>
      </c>
      <c r="G716" s="87">
        <v>0</v>
      </c>
      <c r="H716" s="87" t="str">
        <v/>
      </c>
    </row>
    <row r="717" spans="2:8" x14ac:dyDescent="0.2">
      <c r="B717" s="87" t="str">
        <v/>
      </c>
      <c r="G717" s="87">
        <v>0</v>
      </c>
      <c r="H717" s="87" t="str">
        <v/>
      </c>
    </row>
    <row r="718" spans="2:8" x14ac:dyDescent="0.2">
      <c r="B718" s="87" t="str">
        <v/>
      </c>
      <c r="G718" s="87">
        <v>0</v>
      </c>
      <c r="H718" s="87" t="str">
        <v/>
      </c>
    </row>
    <row r="719" spans="2:8" x14ac:dyDescent="0.2">
      <c r="B719" s="87" t="str">
        <v/>
      </c>
      <c r="G719" s="87">
        <v>0</v>
      </c>
      <c r="H719" s="87" t="str">
        <v/>
      </c>
    </row>
    <row r="720" spans="2:8" x14ac:dyDescent="0.2">
      <c r="B720" s="87" t="str">
        <v/>
      </c>
      <c r="G720" s="87">
        <v>0</v>
      </c>
      <c r="H720" s="87" t="str">
        <v/>
      </c>
    </row>
    <row r="721" spans="2:8" x14ac:dyDescent="0.2">
      <c r="B721" s="87" t="str">
        <v/>
      </c>
      <c r="G721" s="87">
        <v>0</v>
      </c>
      <c r="H721" s="87" t="str">
        <v/>
      </c>
    </row>
    <row r="722" spans="2:8" x14ac:dyDescent="0.2">
      <c r="B722" s="87" t="str">
        <v/>
      </c>
      <c r="G722" s="87">
        <v>0</v>
      </c>
      <c r="H722" s="87" t="str">
        <v/>
      </c>
    </row>
    <row r="723" spans="2:8" x14ac:dyDescent="0.2">
      <c r="B723" s="87" t="str">
        <v/>
      </c>
      <c r="G723" s="87">
        <v>0</v>
      </c>
      <c r="H723" s="87" t="str">
        <v/>
      </c>
    </row>
    <row r="724" spans="2:8" x14ac:dyDescent="0.2">
      <c r="B724" s="87" t="str">
        <v/>
      </c>
      <c r="G724" s="87">
        <v>0</v>
      </c>
      <c r="H724" s="87" t="str">
        <v/>
      </c>
    </row>
    <row r="725" spans="2:8" x14ac:dyDescent="0.2">
      <c r="B725" s="87" t="str">
        <v/>
      </c>
      <c r="G725" s="87">
        <v>0</v>
      </c>
      <c r="H725" s="87" t="str">
        <v/>
      </c>
    </row>
    <row r="726" spans="2:8" x14ac:dyDescent="0.2">
      <c r="B726" s="87" t="str">
        <v/>
      </c>
      <c r="G726" s="87">
        <v>0</v>
      </c>
      <c r="H726" s="87" t="str">
        <v/>
      </c>
    </row>
    <row r="727" spans="2:8" x14ac:dyDescent="0.2">
      <c r="B727" s="87" t="str">
        <v/>
      </c>
      <c r="G727" s="87">
        <v>0</v>
      </c>
      <c r="H727" s="87" t="str">
        <v/>
      </c>
    </row>
    <row r="728" spans="2:8" x14ac:dyDescent="0.2">
      <c r="B728" s="87" t="str">
        <v/>
      </c>
      <c r="G728" s="87">
        <v>0</v>
      </c>
      <c r="H728" s="87" t="str">
        <v/>
      </c>
    </row>
    <row r="729" spans="2:8" x14ac:dyDescent="0.2">
      <c r="B729" s="87" t="str">
        <v/>
      </c>
      <c r="G729" s="87">
        <v>0</v>
      </c>
      <c r="H729" s="87" t="str">
        <v/>
      </c>
    </row>
    <row r="730" spans="2:8" x14ac:dyDescent="0.2">
      <c r="B730" s="87" t="str">
        <v/>
      </c>
      <c r="G730" s="87">
        <v>0</v>
      </c>
      <c r="H730" s="87" t="str">
        <v/>
      </c>
    </row>
    <row r="731" spans="2:8" x14ac:dyDescent="0.2">
      <c r="B731" s="87" t="str">
        <v/>
      </c>
      <c r="G731" s="87">
        <v>0</v>
      </c>
      <c r="H731" s="87" t="str">
        <v/>
      </c>
    </row>
    <row r="732" spans="2:8" x14ac:dyDescent="0.2">
      <c r="B732" s="87" t="str">
        <v/>
      </c>
      <c r="G732" s="87">
        <v>0</v>
      </c>
      <c r="H732" s="87" t="str">
        <v/>
      </c>
    </row>
    <row r="733" spans="2:8" x14ac:dyDescent="0.2">
      <c r="B733" s="87" t="str">
        <v/>
      </c>
      <c r="G733" s="87">
        <v>0</v>
      </c>
      <c r="H733" s="87" t="str">
        <v/>
      </c>
    </row>
    <row r="734" spans="2:8" x14ac:dyDescent="0.2">
      <c r="B734" s="87" t="str">
        <v/>
      </c>
      <c r="G734" s="87">
        <v>0</v>
      </c>
      <c r="H734" s="87" t="str">
        <v/>
      </c>
    </row>
    <row r="735" spans="2:8" x14ac:dyDescent="0.2">
      <c r="B735" s="87" t="str">
        <v/>
      </c>
      <c r="G735" s="87">
        <v>0</v>
      </c>
      <c r="H735" s="87" t="str">
        <v/>
      </c>
    </row>
    <row r="736" spans="2:8" x14ac:dyDescent="0.2">
      <c r="B736" s="87" t="str">
        <v/>
      </c>
      <c r="G736" s="87">
        <v>0</v>
      </c>
      <c r="H736" s="87" t="str">
        <v/>
      </c>
    </row>
    <row r="737" spans="2:8" x14ac:dyDescent="0.2">
      <c r="B737" s="87" t="str">
        <v/>
      </c>
      <c r="G737" s="87">
        <v>0</v>
      </c>
      <c r="H737" s="87" t="str">
        <v/>
      </c>
    </row>
    <row r="738" spans="2:8" x14ac:dyDescent="0.2">
      <c r="B738" s="87" t="str">
        <v/>
      </c>
      <c r="G738" s="87">
        <v>0</v>
      </c>
      <c r="H738" s="87" t="str">
        <v/>
      </c>
    </row>
    <row r="739" spans="2:8" x14ac:dyDescent="0.2">
      <c r="B739" s="87" t="str">
        <v/>
      </c>
      <c r="G739" s="87">
        <v>0</v>
      </c>
      <c r="H739" s="87" t="str">
        <v/>
      </c>
    </row>
    <row r="740" spans="2:8" x14ac:dyDescent="0.2">
      <c r="B740" s="87" t="str">
        <v/>
      </c>
      <c r="G740" s="87">
        <v>0</v>
      </c>
      <c r="H740" s="87" t="str">
        <v/>
      </c>
    </row>
    <row r="741" spans="2:8" x14ac:dyDescent="0.2">
      <c r="B741" s="87" t="str">
        <v/>
      </c>
      <c r="G741" s="87">
        <v>0</v>
      </c>
      <c r="H741" s="87" t="str">
        <v/>
      </c>
    </row>
    <row r="742" spans="2:8" x14ac:dyDescent="0.2">
      <c r="B742" s="87" t="str">
        <v/>
      </c>
      <c r="G742" s="87">
        <v>0</v>
      </c>
      <c r="H742" s="87" t="str">
        <v/>
      </c>
    </row>
    <row r="743" spans="2:8" x14ac:dyDescent="0.2">
      <c r="B743" s="87" t="str">
        <v/>
      </c>
      <c r="G743" s="87">
        <v>0</v>
      </c>
      <c r="H743" s="87" t="str">
        <v/>
      </c>
    </row>
    <row r="744" spans="2:8" x14ac:dyDescent="0.2">
      <c r="B744" s="87" t="str">
        <v/>
      </c>
      <c r="G744" s="87">
        <v>0</v>
      </c>
      <c r="H744" s="87" t="str">
        <v/>
      </c>
    </row>
    <row r="745" spans="2:8" x14ac:dyDescent="0.2">
      <c r="B745" s="87" t="str">
        <v/>
      </c>
      <c r="G745" s="87">
        <v>0</v>
      </c>
      <c r="H745" s="87" t="str">
        <v/>
      </c>
    </row>
    <row r="746" spans="2:8" x14ac:dyDescent="0.2">
      <c r="B746" s="87" t="str">
        <v/>
      </c>
      <c r="G746" s="87">
        <v>0</v>
      </c>
      <c r="H746" s="87" t="str">
        <v/>
      </c>
    </row>
    <row r="747" spans="2:8" x14ac:dyDescent="0.2">
      <c r="B747" s="87" t="str">
        <v/>
      </c>
      <c r="G747" s="87">
        <v>0</v>
      </c>
      <c r="H747" s="87" t="str">
        <v/>
      </c>
    </row>
    <row r="748" spans="2:8" x14ac:dyDescent="0.2">
      <c r="B748" s="87" t="str">
        <v/>
      </c>
      <c r="G748" s="87">
        <v>0</v>
      </c>
      <c r="H748" s="87" t="str">
        <v/>
      </c>
    </row>
    <row r="749" spans="2:8" x14ac:dyDescent="0.2">
      <c r="B749" s="87" t="str">
        <v/>
      </c>
      <c r="G749" s="87">
        <v>0</v>
      </c>
      <c r="H749" s="87" t="str">
        <v/>
      </c>
    </row>
    <row r="750" spans="2:8" x14ac:dyDescent="0.2">
      <c r="B750" s="87" t="str">
        <v/>
      </c>
      <c r="G750" s="87">
        <v>0</v>
      </c>
      <c r="H750" s="87" t="str">
        <v/>
      </c>
    </row>
    <row r="751" spans="2:8" x14ac:dyDescent="0.2">
      <c r="B751" s="87" t="str">
        <v/>
      </c>
      <c r="G751" s="87">
        <v>0</v>
      </c>
      <c r="H751" s="87" t="str">
        <v/>
      </c>
    </row>
    <row r="752" spans="2:8" x14ac:dyDescent="0.2">
      <c r="B752" s="87" t="str">
        <v/>
      </c>
      <c r="G752" s="87">
        <v>0</v>
      </c>
      <c r="H752" s="87" t="str">
        <v/>
      </c>
    </row>
    <row r="753" spans="2:8" x14ac:dyDescent="0.2">
      <c r="B753" s="87" t="str">
        <v/>
      </c>
      <c r="G753" s="87">
        <v>0</v>
      </c>
      <c r="H753" s="87" t="str">
        <v/>
      </c>
    </row>
    <row r="754" spans="2:8" x14ac:dyDescent="0.2">
      <c r="B754" s="87" t="str">
        <v/>
      </c>
      <c r="G754" s="87">
        <v>0</v>
      </c>
      <c r="H754" s="87" t="str">
        <v/>
      </c>
    </row>
    <row r="755" spans="2:8" x14ac:dyDescent="0.2">
      <c r="B755" s="87" t="str">
        <v/>
      </c>
      <c r="G755" s="87">
        <v>0</v>
      </c>
      <c r="H755" s="87" t="str">
        <v/>
      </c>
    </row>
    <row r="756" spans="2:8" x14ac:dyDescent="0.2">
      <c r="B756" s="87" t="str">
        <v/>
      </c>
      <c r="G756" s="87">
        <v>0</v>
      </c>
      <c r="H756" s="87" t="str">
        <v/>
      </c>
    </row>
    <row r="757" spans="2:8" x14ac:dyDescent="0.2">
      <c r="B757" s="87" t="str">
        <v/>
      </c>
      <c r="G757" s="87">
        <v>0</v>
      </c>
      <c r="H757" s="87" t="str">
        <v/>
      </c>
    </row>
    <row r="758" spans="2:8" x14ac:dyDescent="0.2">
      <c r="B758" s="87" t="str">
        <v/>
      </c>
      <c r="G758" s="87">
        <v>0</v>
      </c>
      <c r="H758" s="87" t="str">
        <v/>
      </c>
    </row>
    <row r="759" spans="2:8" x14ac:dyDescent="0.2">
      <c r="B759" s="87" t="str">
        <v/>
      </c>
      <c r="G759" s="87">
        <v>0</v>
      </c>
      <c r="H759" s="87" t="str">
        <v/>
      </c>
    </row>
    <row r="760" spans="2:8" x14ac:dyDescent="0.2">
      <c r="B760" s="87" t="str">
        <v/>
      </c>
      <c r="G760" s="87">
        <v>0</v>
      </c>
      <c r="H760" s="87" t="str">
        <v/>
      </c>
    </row>
    <row r="761" spans="2:8" x14ac:dyDescent="0.2">
      <c r="B761" s="87" t="str">
        <v/>
      </c>
      <c r="G761" s="87">
        <v>0</v>
      </c>
      <c r="H761" s="87" t="str">
        <v/>
      </c>
    </row>
    <row r="762" spans="2:8" x14ac:dyDescent="0.2">
      <c r="B762" s="87" t="str">
        <v/>
      </c>
      <c r="G762" s="87">
        <v>0</v>
      </c>
      <c r="H762" s="87" t="str">
        <v/>
      </c>
    </row>
    <row r="763" spans="2:8" x14ac:dyDescent="0.2">
      <c r="B763" s="87" t="str">
        <v/>
      </c>
      <c r="G763" s="87">
        <v>0</v>
      </c>
      <c r="H763" s="87" t="str">
        <v/>
      </c>
    </row>
    <row r="764" spans="2:8" x14ac:dyDescent="0.2">
      <c r="B764" s="87" t="str">
        <v/>
      </c>
      <c r="G764" s="87">
        <v>0</v>
      </c>
      <c r="H764" s="87" t="str">
        <v/>
      </c>
    </row>
    <row r="765" spans="2:8" x14ac:dyDescent="0.2">
      <c r="B765" s="87" t="str">
        <v/>
      </c>
      <c r="G765" s="87">
        <v>0</v>
      </c>
      <c r="H765" s="87" t="str">
        <v/>
      </c>
    </row>
    <row r="766" spans="2:8" x14ac:dyDescent="0.2">
      <c r="B766" s="87" t="str">
        <v/>
      </c>
      <c r="G766" s="87">
        <v>0</v>
      </c>
      <c r="H766" s="87" t="str">
        <v/>
      </c>
    </row>
    <row r="767" spans="2:8" x14ac:dyDescent="0.2">
      <c r="B767" s="87" t="str">
        <v/>
      </c>
      <c r="G767" s="87">
        <v>0</v>
      </c>
      <c r="H767" s="87" t="str">
        <v/>
      </c>
    </row>
    <row r="768" spans="2:8" x14ac:dyDescent="0.2">
      <c r="B768" s="87" t="str">
        <v/>
      </c>
      <c r="G768" s="87">
        <v>0</v>
      </c>
      <c r="H768" s="87" t="str">
        <v/>
      </c>
    </row>
    <row r="769" spans="2:8" x14ac:dyDescent="0.2">
      <c r="B769" s="87" t="str">
        <v/>
      </c>
      <c r="G769" s="87">
        <v>0</v>
      </c>
      <c r="H769" s="87" t="str">
        <v/>
      </c>
    </row>
    <row r="770" spans="2:8" x14ac:dyDescent="0.2">
      <c r="B770" s="87" t="str">
        <v/>
      </c>
      <c r="G770" s="87">
        <v>0</v>
      </c>
      <c r="H770" s="87" t="str">
        <v/>
      </c>
    </row>
    <row r="771" spans="2:8" x14ac:dyDescent="0.2">
      <c r="B771" s="87" t="str">
        <v/>
      </c>
      <c r="G771" s="87">
        <v>0</v>
      </c>
      <c r="H771" s="87" t="str">
        <v/>
      </c>
    </row>
    <row r="772" spans="2:8" x14ac:dyDescent="0.2">
      <c r="B772" s="87" t="str">
        <v/>
      </c>
      <c r="G772" s="87">
        <v>0</v>
      </c>
      <c r="H772" s="87" t="str">
        <v/>
      </c>
    </row>
    <row r="773" spans="2:8" x14ac:dyDescent="0.2">
      <c r="B773" s="87" t="str">
        <v/>
      </c>
      <c r="G773" s="87">
        <v>0</v>
      </c>
      <c r="H773" s="87" t="str">
        <v/>
      </c>
    </row>
    <row r="774" spans="2:8" x14ac:dyDescent="0.2">
      <c r="B774" s="87" t="str">
        <v/>
      </c>
      <c r="G774" s="87">
        <v>0</v>
      </c>
      <c r="H774" s="87" t="str">
        <v/>
      </c>
    </row>
    <row r="775" spans="2:8" x14ac:dyDescent="0.2">
      <c r="B775" s="87" t="str">
        <v/>
      </c>
      <c r="G775" s="87">
        <v>0</v>
      </c>
      <c r="H775" s="87" t="str">
        <v/>
      </c>
    </row>
    <row r="776" spans="2:8" x14ac:dyDescent="0.2">
      <c r="B776" s="87" t="str">
        <v/>
      </c>
      <c r="G776" s="87">
        <v>0</v>
      </c>
      <c r="H776" s="87" t="str">
        <v/>
      </c>
    </row>
    <row r="777" spans="2:8" x14ac:dyDescent="0.2">
      <c r="B777" s="87" t="str">
        <v/>
      </c>
      <c r="G777" s="87">
        <v>0</v>
      </c>
      <c r="H777" s="87" t="str">
        <v/>
      </c>
    </row>
    <row r="778" spans="2:8" x14ac:dyDescent="0.2">
      <c r="B778" s="87" t="str">
        <v/>
      </c>
      <c r="G778" s="87">
        <v>0</v>
      </c>
      <c r="H778" s="87" t="str">
        <v/>
      </c>
    </row>
    <row r="779" spans="2:8" x14ac:dyDescent="0.2">
      <c r="B779" s="87" t="str">
        <v/>
      </c>
      <c r="G779" s="87">
        <v>0</v>
      </c>
      <c r="H779" s="87" t="str">
        <v/>
      </c>
    </row>
    <row r="780" spans="2:8" x14ac:dyDescent="0.2">
      <c r="B780" s="87" t="str">
        <v/>
      </c>
      <c r="G780" s="87">
        <v>0</v>
      </c>
      <c r="H780" s="87" t="str">
        <v/>
      </c>
    </row>
    <row r="781" spans="2:8" x14ac:dyDescent="0.2">
      <c r="B781" s="87" t="str">
        <v/>
      </c>
      <c r="G781" s="87">
        <v>0</v>
      </c>
      <c r="H781" s="87" t="str">
        <v/>
      </c>
    </row>
    <row r="782" spans="2:8" x14ac:dyDescent="0.2">
      <c r="B782" s="87" t="str">
        <v/>
      </c>
      <c r="G782" s="87">
        <v>0</v>
      </c>
      <c r="H782" s="87" t="str">
        <v/>
      </c>
    </row>
    <row r="783" spans="2:8" x14ac:dyDescent="0.2">
      <c r="B783" s="87" t="str">
        <v/>
      </c>
      <c r="G783" s="87">
        <v>0</v>
      </c>
      <c r="H783" s="87" t="str">
        <v/>
      </c>
    </row>
    <row r="784" spans="2:8" x14ac:dyDescent="0.2">
      <c r="B784" s="87" t="str">
        <v/>
      </c>
      <c r="G784" s="87">
        <v>0</v>
      </c>
      <c r="H784" s="87" t="str">
        <v/>
      </c>
    </row>
    <row r="785" spans="2:8" x14ac:dyDescent="0.2">
      <c r="B785" s="87" t="str">
        <v/>
      </c>
      <c r="G785" s="87">
        <v>0</v>
      </c>
      <c r="H785" s="87" t="str">
        <v/>
      </c>
    </row>
    <row r="786" spans="2:8" x14ac:dyDescent="0.2">
      <c r="B786" s="87" t="str">
        <v/>
      </c>
      <c r="G786" s="87">
        <v>0</v>
      </c>
      <c r="H786" s="87" t="str">
        <v/>
      </c>
    </row>
    <row r="787" spans="2:8" x14ac:dyDescent="0.2">
      <c r="B787" s="87" t="str">
        <v/>
      </c>
      <c r="G787" s="87">
        <v>0</v>
      </c>
      <c r="H787" s="87" t="str">
        <v/>
      </c>
    </row>
    <row r="788" spans="2:8" x14ac:dyDescent="0.2">
      <c r="B788" s="87" t="str">
        <v/>
      </c>
      <c r="G788" s="87">
        <v>0</v>
      </c>
      <c r="H788" s="87" t="str">
        <v/>
      </c>
    </row>
    <row r="789" spans="2:8" x14ac:dyDescent="0.2">
      <c r="B789" s="87" t="str">
        <v/>
      </c>
      <c r="G789" s="87">
        <v>0</v>
      </c>
      <c r="H789" s="87" t="str">
        <v/>
      </c>
    </row>
    <row r="790" spans="2:8" x14ac:dyDescent="0.2">
      <c r="B790" s="87" t="str">
        <v/>
      </c>
      <c r="G790" s="87">
        <v>0</v>
      </c>
      <c r="H790" s="87" t="str">
        <v/>
      </c>
    </row>
    <row r="791" spans="2:8" x14ac:dyDescent="0.2">
      <c r="B791" s="87" t="str">
        <v/>
      </c>
      <c r="G791" s="87">
        <v>0</v>
      </c>
      <c r="H791" s="87" t="str">
        <v/>
      </c>
    </row>
    <row r="792" spans="2:8" x14ac:dyDescent="0.2">
      <c r="B792" s="87" t="str">
        <v/>
      </c>
      <c r="G792" s="87">
        <v>0</v>
      </c>
      <c r="H792" s="87" t="str">
        <v/>
      </c>
    </row>
    <row r="793" spans="2:8" x14ac:dyDescent="0.2">
      <c r="B793" s="87" t="str">
        <v/>
      </c>
      <c r="G793" s="87">
        <v>0</v>
      </c>
      <c r="H793" s="87" t="str">
        <v/>
      </c>
    </row>
    <row r="794" spans="2:8" x14ac:dyDescent="0.2">
      <c r="B794" s="87" t="str">
        <v/>
      </c>
      <c r="G794" s="87">
        <v>0</v>
      </c>
      <c r="H794" s="87" t="str">
        <v/>
      </c>
    </row>
    <row r="795" spans="2:8" x14ac:dyDescent="0.2">
      <c r="B795" s="87" t="str">
        <v/>
      </c>
      <c r="G795" s="87">
        <v>0</v>
      </c>
      <c r="H795" s="87" t="str">
        <v/>
      </c>
    </row>
    <row r="796" spans="2:8" x14ac:dyDescent="0.2">
      <c r="B796" s="87" t="str">
        <v/>
      </c>
      <c r="G796" s="87">
        <v>0</v>
      </c>
      <c r="H796" s="87" t="str">
        <v/>
      </c>
    </row>
    <row r="797" spans="2:8" x14ac:dyDescent="0.2">
      <c r="B797" s="87" t="str">
        <v/>
      </c>
      <c r="G797" s="87">
        <v>0</v>
      </c>
      <c r="H797" s="87" t="str">
        <v/>
      </c>
    </row>
    <row r="798" spans="2:8" x14ac:dyDescent="0.2">
      <c r="B798" s="87" t="str">
        <v/>
      </c>
      <c r="G798" s="87">
        <v>0</v>
      </c>
      <c r="H798" s="87" t="str">
        <v/>
      </c>
    </row>
    <row r="799" spans="2:8" x14ac:dyDescent="0.2">
      <c r="B799" s="87" t="str">
        <v/>
      </c>
      <c r="G799" s="87">
        <v>0</v>
      </c>
      <c r="H799" s="87" t="str">
        <v/>
      </c>
    </row>
    <row r="800" spans="2:8" x14ac:dyDescent="0.2">
      <c r="B800" s="87" t="str">
        <v/>
      </c>
      <c r="G800" s="87">
        <v>0</v>
      </c>
      <c r="H800" s="87" t="str">
        <v/>
      </c>
    </row>
    <row r="801" spans="2:8" x14ac:dyDescent="0.2">
      <c r="B801" s="87" t="str">
        <v/>
      </c>
      <c r="G801" s="87">
        <v>0</v>
      </c>
      <c r="H801" s="87" t="str">
        <v/>
      </c>
    </row>
    <row r="802" spans="2:8" x14ac:dyDescent="0.2">
      <c r="B802" s="87" t="str">
        <v/>
      </c>
      <c r="G802" s="87">
        <v>0</v>
      </c>
      <c r="H802" s="87" t="str">
        <v/>
      </c>
    </row>
    <row r="803" spans="2:8" x14ac:dyDescent="0.2">
      <c r="B803" s="87" t="str">
        <v/>
      </c>
      <c r="G803" s="87">
        <v>0</v>
      </c>
      <c r="H803" s="87" t="str">
        <v/>
      </c>
    </row>
    <row r="804" spans="2:8" x14ac:dyDescent="0.2">
      <c r="B804" s="87" t="str">
        <v/>
      </c>
      <c r="G804" s="87">
        <v>0</v>
      </c>
      <c r="H804" s="87" t="str">
        <v/>
      </c>
    </row>
    <row r="805" spans="2:8" x14ac:dyDescent="0.2">
      <c r="B805" s="87" t="str">
        <v/>
      </c>
      <c r="G805" s="87">
        <v>0</v>
      </c>
      <c r="H805" s="87" t="str">
        <v/>
      </c>
    </row>
    <row r="806" spans="2:8" x14ac:dyDescent="0.2">
      <c r="B806" s="87" t="str">
        <v/>
      </c>
      <c r="G806" s="87">
        <v>0</v>
      </c>
      <c r="H806" s="87" t="str">
        <v/>
      </c>
    </row>
    <row r="807" spans="2:8" x14ac:dyDescent="0.2">
      <c r="B807" s="87" t="str">
        <v/>
      </c>
      <c r="G807" s="87">
        <v>0</v>
      </c>
      <c r="H807" s="87" t="str">
        <v/>
      </c>
    </row>
    <row r="808" spans="2:8" x14ac:dyDescent="0.2">
      <c r="B808" s="87" t="str">
        <v/>
      </c>
      <c r="G808" s="87">
        <v>0</v>
      </c>
      <c r="H808" s="87" t="str">
        <v/>
      </c>
    </row>
    <row r="809" spans="2:8" x14ac:dyDescent="0.2">
      <c r="B809" s="87" t="str">
        <v/>
      </c>
      <c r="G809" s="87">
        <v>0</v>
      </c>
      <c r="H809" s="87" t="str">
        <v/>
      </c>
    </row>
    <row r="810" spans="2:8" x14ac:dyDescent="0.2">
      <c r="B810" s="87" t="str">
        <v/>
      </c>
      <c r="G810" s="87">
        <v>0</v>
      </c>
      <c r="H810" s="87" t="str">
        <v/>
      </c>
    </row>
    <row r="811" spans="2:8" x14ac:dyDescent="0.2">
      <c r="B811" s="87" t="str">
        <v/>
      </c>
      <c r="G811" s="87">
        <v>0</v>
      </c>
      <c r="H811" s="87" t="str">
        <v/>
      </c>
    </row>
    <row r="812" spans="2:8" x14ac:dyDescent="0.2">
      <c r="B812" s="87" t="str">
        <v/>
      </c>
      <c r="G812" s="87">
        <v>0</v>
      </c>
      <c r="H812" s="87" t="str">
        <v/>
      </c>
    </row>
    <row r="813" spans="2:8" x14ac:dyDescent="0.2">
      <c r="B813" s="87" t="str">
        <v/>
      </c>
      <c r="G813" s="87">
        <v>0</v>
      </c>
      <c r="H813" s="87" t="str">
        <v/>
      </c>
    </row>
    <row r="814" spans="2:8" x14ac:dyDescent="0.2">
      <c r="B814" s="87" t="str">
        <v/>
      </c>
      <c r="G814" s="87">
        <v>0</v>
      </c>
      <c r="H814" s="87" t="str">
        <v/>
      </c>
    </row>
    <row r="815" spans="2:8" x14ac:dyDescent="0.2">
      <c r="B815" s="87" t="str">
        <v/>
      </c>
      <c r="G815" s="87">
        <v>0</v>
      </c>
      <c r="H815" s="87" t="str">
        <v/>
      </c>
    </row>
    <row r="816" spans="2:8" x14ac:dyDescent="0.2">
      <c r="B816" s="87" t="str">
        <v/>
      </c>
      <c r="G816" s="87">
        <v>0</v>
      </c>
      <c r="H816" s="87" t="str">
        <v/>
      </c>
    </row>
    <row r="817" spans="2:8" x14ac:dyDescent="0.2">
      <c r="B817" s="87" t="str">
        <v/>
      </c>
      <c r="G817" s="87">
        <v>0</v>
      </c>
      <c r="H817" s="87" t="str">
        <v/>
      </c>
    </row>
    <row r="818" spans="2:8" x14ac:dyDescent="0.2">
      <c r="B818" s="87" t="str">
        <v/>
      </c>
      <c r="G818" s="87">
        <v>0</v>
      </c>
      <c r="H818" s="87" t="str">
        <v/>
      </c>
    </row>
    <row r="819" spans="2:8" x14ac:dyDescent="0.2">
      <c r="B819" s="87" t="str">
        <v/>
      </c>
      <c r="G819" s="87">
        <v>0</v>
      </c>
      <c r="H819" s="87" t="str">
        <v/>
      </c>
    </row>
    <row r="820" spans="2:8" x14ac:dyDescent="0.2">
      <c r="B820" s="87" t="str">
        <v/>
      </c>
      <c r="G820" s="87">
        <v>0</v>
      </c>
      <c r="H820" s="87" t="str">
        <v/>
      </c>
    </row>
    <row r="821" spans="2:8" x14ac:dyDescent="0.2">
      <c r="B821" s="87" t="str">
        <v/>
      </c>
      <c r="G821" s="87">
        <v>0</v>
      </c>
      <c r="H821" s="87" t="str">
        <v/>
      </c>
    </row>
    <row r="822" spans="2:8" x14ac:dyDescent="0.2">
      <c r="B822" s="87" t="str">
        <v/>
      </c>
      <c r="G822" s="87">
        <v>0</v>
      </c>
      <c r="H822" s="87" t="str">
        <v/>
      </c>
    </row>
    <row r="823" spans="2:8" x14ac:dyDescent="0.2">
      <c r="B823" s="87" t="str">
        <v/>
      </c>
      <c r="G823" s="87">
        <v>0</v>
      </c>
      <c r="H823" s="87" t="str">
        <v/>
      </c>
    </row>
    <row r="824" spans="2:8" x14ac:dyDescent="0.2">
      <c r="B824" s="87" t="str">
        <v/>
      </c>
      <c r="G824" s="87">
        <v>0</v>
      </c>
      <c r="H824" s="87" t="str">
        <v/>
      </c>
    </row>
    <row r="825" spans="2:8" x14ac:dyDescent="0.2">
      <c r="B825" s="87" t="str">
        <v/>
      </c>
      <c r="G825" s="87">
        <v>0</v>
      </c>
      <c r="H825" s="87" t="str">
        <v/>
      </c>
    </row>
    <row r="826" spans="2:8" x14ac:dyDescent="0.2">
      <c r="B826" s="87" t="str">
        <v/>
      </c>
      <c r="G826" s="87">
        <v>0</v>
      </c>
      <c r="H826" s="87" t="str">
        <v/>
      </c>
    </row>
    <row r="827" spans="2:8" x14ac:dyDescent="0.2">
      <c r="B827" s="87" t="str">
        <v/>
      </c>
      <c r="G827" s="87">
        <v>0</v>
      </c>
      <c r="H827" s="87" t="str">
        <v/>
      </c>
    </row>
    <row r="828" spans="2:8" x14ac:dyDescent="0.2">
      <c r="B828" s="87" t="str">
        <v/>
      </c>
      <c r="G828" s="87">
        <v>0</v>
      </c>
      <c r="H828" s="87" t="str">
        <v/>
      </c>
    </row>
    <row r="829" spans="2:8" x14ac:dyDescent="0.2">
      <c r="B829" s="87" t="str">
        <v/>
      </c>
      <c r="G829" s="87">
        <v>0</v>
      </c>
      <c r="H829" s="87" t="str">
        <v/>
      </c>
    </row>
    <row r="830" spans="2:8" x14ac:dyDescent="0.2">
      <c r="B830" s="87" t="str">
        <v/>
      </c>
      <c r="G830" s="87">
        <v>0</v>
      </c>
      <c r="H830" s="87" t="str">
        <v/>
      </c>
    </row>
    <row r="831" spans="2:8" x14ac:dyDescent="0.2">
      <c r="B831" s="87" t="str">
        <v/>
      </c>
      <c r="G831" s="87">
        <v>0</v>
      </c>
      <c r="H831" s="87" t="str">
        <v/>
      </c>
    </row>
    <row r="832" spans="2:8" x14ac:dyDescent="0.2">
      <c r="B832" s="87" t="str">
        <v/>
      </c>
      <c r="G832" s="87">
        <v>0</v>
      </c>
      <c r="H832" s="87" t="str">
        <v/>
      </c>
    </row>
    <row r="833" spans="2:8" x14ac:dyDescent="0.2">
      <c r="B833" s="87" t="str">
        <v/>
      </c>
      <c r="G833" s="87">
        <v>0</v>
      </c>
      <c r="H833" s="87" t="str">
        <v/>
      </c>
    </row>
    <row r="834" spans="2:8" x14ac:dyDescent="0.2">
      <c r="B834" s="87" t="str">
        <v/>
      </c>
      <c r="G834" s="87">
        <v>0</v>
      </c>
      <c r="H834" s="87" t="str">
        <v/>
      </c>
    </row>
    <row r="835" spans="2:8" x14ac:dyDescent="0.2">
      <c r="B835" s="87" t="str">
        <v/>
      </c>
      <c r="G835" s="87">
        <v>0</v>
      </c>
      <c r="H835" s="87" t="str">
        <v/>
      </c>
    </row>
    <row r="836" spans="2:8" x14ac:dyDescent="0.2">
      <c r="B836" s="87" t="str">
        <v/>
      </c>
      <c r="G836" s="87">
        <v>0</v>
      </c>
      <c r="H836" s="87" t="str">
        <v/>
      </c>
    </row>
    <row r="837" spans="2:8" x14ac:dyDescent="0.2">
      <c r="B837" s="87" t="str">
        <v/>
      </c>
      <c r="G837" s="87">
        <v>0</v>
      </c>
      <c r="H837" s="87" t="str">
        <v/>
      </c>
    </row>
    <row r="838" spans="2:8" x14ac:dyDescent="0.2">
      <c r="B838" s="87" t="str">
        <v/>
      </c>
      <c r="G838" s="87">
        <v>0</v>
      </c>
      <c r="H838" s="87" t="str">
        <v/>
      </c>
    </row>
    <row r="839" spans="2:8" x14ac:dyDescent="0.2">
      <c r="B839" s="87" t="str">
        <v/>
      </c>
      <c r="G839" s="87">
        <v>0</v>
      </c>
      <c r="H839" s="87" t="str">
        <v/>
      </c>
    </row>
    <row r="840" spans="2:8" x14ac:dyDescent="0.2">
      <c r="B840" s="87" t="str">
        <v/>
      </c>
      <c r="G840" s="87">
        <v>0</v>
      </c>
      <c r="H840" s="87" t="str">
        <v/>
      </c>
    </row>
    <row r="841" spans="2:8" x14ac:dyDescent="0.2">
      <c r="B841" s="87" t="str">
        <v/>
      </c>
      <c r="G841" s="87">
        <v>0</v>
      </c>
      <c r="H841" s="87" t="str">
        <v/>
      </c>
    </row>
    <row r="842" spans="2:8" x14ac:dyDescent="0.2">
      <c r="B842" s="87" t="str">
        <v/>
      </c>
      <c r="G842" s="87">
        <v>0</v>
      </c>
      <c r="H842" s="87" t="str">
        <v/>
      </c>
    </row>
    <row r="843" spans="2:8" x14ac:dyDescent="0.2">
      <c r="B843" s="87" t="str">
        <v/>
      </c>
      <c r="G843" s="87">
        <v>0</v>
      </c>
      <c r="H843" s="87" t="str">
        <v/>
      </c>
    </row>
    <row r="844" spans="2:8" x14ac:dyDescent="0.2">
      <c r="B844" s="87" t="str">
        <v/>
      </c>
      <c r="G844" s="87">
        <v>0</v>
      </c>
      <c r="H844" s="87" t="str">
        <v/>
      </c>
    </row>
    <row r="845" spans="2:8" x14ac:dyDescent="0.2">
      <c r="B845" s="87" t="str">
        <v/>
      </c>
      <c r="G845" s="87">
        <v>0</v>
      </c>
      <c r="H845" s="87" t="str">
        <v/>
      </c>
    </row>
    <row r="846" spans="2:8" x14ac:dyDescent="0.2">
      <c r="B846" s="87" t="str">
        <v/>
      </c>
      <c r="G846" s="87">
        <v>0</v>
      </c>
      <c r="H846" s="87" t="str">
        <v/>
      </c>
    </row>
    <row r="847" spans="2:8" x14ac:dyDescent="0.2">
      <c r="B847" s="87" t="str">
        <v/>
      </c>
      <c r="G847" s="87">
        <v>0</v>
      </c>
      <c r="H847" s="87" t="str">
        <v/>
      </c>
    </row>
    <row r="848" spans="2:8" x14ac:dyDescent="0.2">
      <c r="B848" s="87" t="str">
        <v/>
      </c>
      <c r="G848" s="87">
        <v>0</v>
      </c>
      <c r="H848" s="87" t="str">
        <v/>
      </c>
    </row>
    <row r="849" spans="2:8" x14ac:dyDescent="0.2">
      <c r="B849" s="87" t="str">
        <v/>
      </c>
      <c r="G849" s="87">
        <v>0</v>
      </c>
      <c r="H849" s="87" t="str">
        <v/>
      </c>
    </row>
    <row r="850" spans="2:8" x14ac:dyDescent="0.2">
      <c r="B850" s="87" t="str">
        <v/>
      </c>
      <c r="G850" s="87">
        <v>0</v>
      </c>
      <c r="H850" s="87" t="str">
        <v/>
      </c>
    </row>
    <row r="851" spans="2:8" x14ac:dyDescent="0.2">
      <c r="B851" s="87" t="str">
        <v/>
      </c>
      <c r="G851" s="87">
        <v>0</v>
      </c>
      <c r="H851" s="87" t="str">
        <v/>
      </c>
    </row>
    <row r="852" spans="2:8" x14ac:dyDescent="0.2">
      <c r="B852" s="87" t="str">
        <v/>
      </c>
      <c r="G852" s="87">
        <v>0</v>
      </c>
      <c r="H852" s="87" t="str">
        <v/>
      </c>
    </row>
    <row r="853" spans="2:8" x14ac:dyDescent="0.2">
      <c r="B853" s="87" t="str">
        <v/>
      </c>
      <c r="G853" s="87">
        <v>0</v>
      </c>
      <c r="H853" s="87" t="str">
        <v/>
      </c>
    </row>
    <row r="854" spans="2:8" x14ac:dyDescent="0.2">
      <c r="B854" s="87" t="str">
        <v/>
      </c>
      <c r="G854" s="87">
        <v>0</v>
      </c>
      <c r="H854" s="87" t="str">
        <v/>
      </c>
    </row>
    <row r="855" spans="2:8" x14ac:dyDescent="0.2">
      <c r="B855" s="87" t="str">
        <v/>
      </c>
      <c r="G855" s="87">
        <v>0</v>
      </c>
      <c r="H855" s="87" t="str">
        <v/>
      </c>
    </row>
    <row r="856" spans="2:8" x14ac:dyDescent="0.2">
      <c r="B856" s="87" t="str">
        <v/>
      </c>
      <c r="G856" s="87">
        <v>0</v>
      </c>
      <c r="H856" s="87" t="str">
        <v/>
      </c>
    </row>
    <row r="857" spans="2:8" x14ac:dyDescent="0.2">
      <c r="B857" s="87" t="str">
        <v/>
      </c>
      <c r="G857" s="87">
        <v>0</v>
      </c>
      <c r="H857" s="87" t="str">
        <v/>
      </c>
    </row>
    <row r="858" spans="2:8" x14ac:dyDescent="0.2">
      <c r="B858" s="87" t="str">
        <v/>
      </c>
      <c r="G858" s="87">
        <v>0</v>
      </c>
      <c r="H858" s="87" t="str">
        <v/>
      </c>
    </row>
    <row r="859" spans="2:8" x14ac:dyDescent="0.2">
      <c r="B859" s="87" t="str">
        <v/>
      </c>
      <c r="G859" s="87">
        <v>0</v>
      </c>
      <c r="H859" s="87" t="str">
        <v/>
      </c>
    </row>
    <row r="860" spans="2:8" x14ac:dyDescent="0.2">
      <c r="B860" s="87" t="str">
        <v/>
      </c>
      <c r="G860" s="87">
        <v>0</v>
      </c>
      <c r="H860" s="87" t="str">
        <v/>
      </c>
    </row>
    <row r="861" spans="2:8" x14ac:dyDescent="0.2">
      <c r="B861" s="87" t="str">
        <v/>
      </c>
      <c r="G861" s="87">
        <v>0</v>
      </c>
      <c r="H861" s="87" t="str">
        <v/>
      </c>
    </row>
    <row r="862" spans="2:8" x14ac:dyDescent="0.2">
      <c r="B862" s="87" t="str">
        <v/>
      </c>
      <c r="G862" s="87">
        <v>0</v>
      </c>
      <c r="H862" s="87" t="str">
        <v/>
      </c>
    </row>
    <row r="863" spans="2:8" x14ac:dyDescent="0.2">
      <c r="B863" s="87" t="str">
        <v/>
      </c>
      <c r="G863" s="87">
        <v>0</v>
      </c>
      <c r="H863" s="87" t="str">
        <v/>
      </c>
    </row>
    <row r="864" spans="2:8" x14ac:dyDescent="0.2">
      <c r="B864" s="87" t="str">
        <v/>
      </c>
      <c r="G864" s="87">
        <v>0</v>
      </c>
      <c r="H864" s="87" t="str">
        <v/>
      </c>
    </row>
    <row r="865" spans="2:8" x14ac:dyDescent="0.2">
      <c r="B865" s="87" t="str">
        <v/>
      </c>
      <c r="G865" s="87">
        <v>0</v>
      </c>
      <c r="H865" s="87" t="str">
        <v/>
      </c>
    </row>
    <row r="866" spans="2:8" x14ac:dyDescent="0.2">
      <c r="B866" s="87" t="str">
        <v/>
      </c>
      <c r="G866" s="87">
        <v>0</v>
      </c>
      <c r="H866" s="87" t="str">
        <v/>
      </c>
    </row>
    <row r="867" spans="2:8" x14ac:dyDescent="0.2">
      <c r="B867" s="87" t="str">
        <v/>
      </c>
      <c r="G867" s="87">
        <v>0</v>
      </c>
      <c r="H867" s="87" t="str">
        <v/>
      </c>
    </row>
    <row r="868" spans="2:8" x14ac:dyDescent="0.2">
      <c r="B868" s="87" t="str">
        <v/>
      </c>
      <c r="G868" s="87">
        <v>0</v>
      </c>
      <c r="H868" s="87" t="str">
        <v/>
      </c>
    </row>
    <row r="869" spans="2:8" x14ac:dyDescent="0.2">
      <c r="B869" s="87" t="str">
        <v/>
      </c>
      <c r="G869" s="87">
        <v>0</v>
      </c>
      <c r="H869" s="87" t="str">
        <v/>
      </c>
    </row>
    <row r="870" spans="2:8" x14ac:dyDescent="0.2">
      <c r="B870" s="87" t="str">
        <v/>
      </c>
      <c r="G870" s="87">
        <v>0</v>
      </c>
      <c r="H870" s="87" t="str">
        <v/>
      </c>
    </row>
    <row r="871" spans="2:8" x14ac:dyDescent="0.2">
      <c r="B871" s="87" t="str">
        <v/>
      </c>
      <c r="G871" s="87">
        <v>0</v>
      </c>
      <c r="H871" s="87" t="str">
        <v/>
      </c>
    </row>
    <row r="872" spans="2:8" x14ac:dyDescent="0.2">
      <c r="B872" s="87" t="str">
        <v/>
      </c>
      <c r="G872" s="87">
        <v>0</v>
      </c>
      <c r="H872" s="87" t="str">
        <v/>
      </c>
    </row>
    <row r="873" spans="2:8" x14ac:dyDescent="0.2">
      <c r="B873" s="87" t="str">
        <v/>
      </c>
      <c r="G873" s="87">
        <v>0</v>
      </c>
      <c r="H873" s="87" t="str">
        <v/>
      </c>
    </row>
    <row r="874" spans="2:8" x14ac:dyDescent="0.2">
      <c r="B874" s="87" t="str">
        <v/>
      </c>
      <c r="G874" s="87">
        <v>0</v>
      </c>
      <c r="H874" s="87" t="str">
        <v/>
      </c>
    </row>
    <row r="875" spans="2:8" x14ac:dyDescent="0.2">
      <c r="B875" s="87" t="str">
        <v/>
      </c>
      <c r="G875" s="87">
        <v>0</v>
      </c>
      <c r="H875" s="87" t="str">
        <v/>
      </c>
    </row>
    <row r="876" spans="2:8" x14ac:dyDescent="0.2">
      <c r="B876" s="87" t="str">
        <v/>
      </c>
      <c r="G876" s="87">
        <v>0</v>
      </c>
      <c r="H876" s="87" t="str">
        <v/>
      </c>
    </row>
    <row r="877" spans="2:8" x14ac:dyDescent="0.2">
      <c r="B877" s="87" t="str">
        <v/>
      </c>
      <c r="G877" s="87">
        <v>0</v>
      </c>
      <c r="H877" s="87" t="str">
        <v/>
      </c>
    </row>
    <row r="878" spans="2:8" x14ac:dyDescent="0.2">
      <c r="B878" s="87" t="str">
        <v/>
      </c>
      <c r="G878" s="87">
        <v>0</v>
      </c>
      <c r="H878" s="87" t="str">
        <v/>
      </c>
    </row>
    <row r="879" spans="2:8" x14ac:dyDescent="0.2">
      <c r="B879" s="87" t="str">
        <v/>
      </c>
      <c r="G879" s="87">
        <v>0</v>
      </c>
      <c r="H879" s="87" t="str">
        <v/>
      </c>
    </row>
    <row r="880" spans="2:8" x14ac:dyDescent="0.2">
      <c r="B880" s="87" t="str">
        <v/>
      </c>
      <c r="G880" s="87">
        <v>0</v>
      </c>
      <c r="H880" s="87" t="str">
        <v/>
      </c>
    </row>
    <row r="881" spans="2:8" x14ac:dyDescent="0.2">
      <c r="B881" s="87" t="str">
        <v/>
      </c>
      <c r="G881" s="87">
        <v>0</v>
      </c>
      <c r="H881" s="87" t="str">
        <v/>
      </c>
    </row>
    <row r="882" spans="2:8" x14ac:dyDescent="0.2">
      <c r="B882" s="87" t="str">
        <v/>
      </c>
      <c r="G882" s="87">
        <v>0</v>
      </c>
      <c r="H882" s="87" t="str">
        <v/>
      </c>
    </row>
    <row r="883" spans="2:8" x14ac:dyDescent="0.2">
      <c r="B883" s="87" t="str">
        <v/>
      </c>
      <c r="G883" s="87">
        <v>0</v>
      </c>
      <c r="H883" s="87" t="str">
        <v/>
      </c>
    </row>
    <row r="884" spans="2:8" x14ac:dyDescent="0.2">
      <c r="B884" s="87" t="str">
        <v/>
      </c>
      <c r="G884" s="87">
        <v>0</v>
      </c>
      <c r="H884" s="87" t="str">
        <v/>
      </c>
    </row>
    <row r="885" spans="2:8" x14ac:dyDescent="0.2">
      <c r="B885" s="87" t="str">
        <v/>
      </c>
      <c r="G885" s="87">
        <v>0</v>
      </c>
      <c r="H885" s="87" t="str">
        <v/>
      </c>
    </row>
    <row r="886" spans="2:8" x14ac:dyDescent="0.2">
      <c r="B886" s="87" t="str">
        <v/>
      </c>
      <c r="G886" s="87">
        <v>0</v>
      </c>
      <c r="H886" s="87" t="str">
        <v/>
      </c>
    </row>
    <row r="887" spans="2:8" x14ac:dyDescent="0.2">
      <c r="B887" s="87" t="str">
        <v/>
      </c>
      <c r="G887" s="87">
        <v>0</v>
      </c>
      <c r="H887" s="87" t="str">
        <v/>
      </c>
    </row>
    <row r="888" spans="2:8" x14ac:dyDescent="0.2">
      <c r="B888" s="87" t="str">
        <v/>
      </c>
      <c r="G888" s="87">
        <v>0</v>
      </c>
      <c r="H888" s="87" t="str">
        <v/>
      </c>
    </row>
    <row r="889" spans="2:8" x14ac:dyDescent="0.2">
      <c r="B889" s="87" t="str">
        <v/>
      </c>
      <c r="G889" s="87">
        <v>0</v>
      </c>
      <c r="H889" s="87" t="str">
        <v/>
      </c>
    </row>
    <row r="890" spans="2:8" x14ac:dyDescent="0.2">
      <c r="B890" s="87" t="str">
        <v/>
      </c>
      <c r="G890" s="87">
        <v>0</v>
      </c>
      <c r="H890" s="87" t="str">
        <v/>
      </c>
    </row>
    <row r="891" spans="2:8" x14ac:dyDescent="0.2">
      <c r="B891" s="87" t="str">
        <v/>
      </c>
      <c r="G891" s="87">
        <v>0</v>
      </c>
      <c r="H891" s="87" t="str">
        <v/>
      </c>
    </row>
    <row r="892" spans="2:8" x14ac:dyDescent="0.2">
      <c r="B892" s="87" t="str">
        <v/>
      </c>
      <c r="G892" s="87">
        <v>0</v>
      </c>
      <c r="H892" s="87" t="str">
        <v/>
      </c>
    </row>
    <row r="893" spans="2:8" x14ac:dyDescent="0.2">
      <c r="B893" s="87" t="str">
        <v/>
      </c>
      <c r="G893" s="87">
        <v>0</v>
      </c>
      <c r="H893" s="87" t="str">
        <v/>
      </c>
    </row>
    <row r="894" spans="2:8" x14ac:dyDescent="0.2">
      <c r="B894" s="87" t="str">
        <v/>
      </c>
      <c r="G894" s="87">
        <v>0</v>
      </c>
      <c r="H894" s="87" t="str">
        <v/>
      </c>
    </row>
    <row r="895" spans="2:8" x14ac:dyDescent="0.2">
      <c r="B895" s="87" t="str">
        <v/>
      </c>
      <c r="G895" s="87">
        <v>0</v>
      </c>
      <c r="H895" s="87" t="str">
        <v/>
      </c>
    </row>
    <row r="896" spans="2:8" x14ac:dyDescent="0.2">
      <c r="B896" s="87" t="str">
        <v/>
      </c>
      <c r="G896" s="87">
        <v>0</v>
      </c>
      <c r="H896" s="87" t="str">
        <v/>
      </c>
    </row>
    <row r="897" spans="2:8" x14ac:dyDescent="0.2">
      <c r="B897" s="87" t="str">
        <v/>
      </c>
      <c r="G897" s="87">
        <v>0</v>
      </c>
      <c r="H897" s="87" t="str">
        <v/>
      </c>
    </row>
    <row r="898" spans="2:8" x14ac:dyDescent="0.2">
      <c r="B898" s="87" t="str">
        <v/>
      </c>
      <c r="G898" s="87">
        <v>0</v>
      </c>
      <c r="H898" s="87" t="str">
        <v/>
      </c>
    </row>
    <row r="899" spans="2:8" x14ac:dyDescent="0.2">
      <c r="B899" s="87" t="str">
        <v/>
      </c>
      <c r="G899" s="87">
        <v>0</v>
      </c>
      <c r="H899" s="87" t="str">
        <v/>
      </c>
    </row>
    <row r="900" spans="2:8" x14ac:dyDescent="0.2">
      <c r="B900" s="87" t="str">
        <v/>
      </c>
      <c r="G900" s="87">
        <v>0</v>
      </c>
      <c r="H900" s="87" t="str">
        <v/>
      </c>
    </row>
    <row r="901" spans="2:8" x14ac:dyDescent="0.2">
      <c r="B901" s="87" t="str">
        <v/>
      </c>
      <c r="G901" s="87">
        <v>0</v>
      </c>
      <c r="H901" s="87" t="str">
        <v/>
      </c>
    </row>
    <row r="902" spans="2:8" x14ac:dyDescent="0.2">
      <c r="B902" s="87" t="str">
        <v/>
      </c>
      <c r="G902" s="87">
        <v>0</v>
      </c>
      <c r="H902" s="87" t="str">
        <v/>
      </c>
    </row>
    <row r="903" spans="2:8" x14ac:dyDescent="0.2">
      <c r="B903" s="87" t="str">
        <v/>
      </c>
      <c r="G903" s="87">
        <v>0</v>
      </c>
      <c r="H903" s="87" t="str">
        <v/>
      </c>
    </row>
    <row r="904" spans="2:8" x14ac:dyDescent="0.2">
      <c r="B904" s="87" t="str">
        <v/>
      </c>
      <c r="G904" s="87">
        <v>0</v>
      </c>
      <c r="H904" s="87" t="str">
        <v/>
      </c>
    </row>
    <row r="905" spans="2:8" x14ac:dyDescent="0.2">
      <c r="B905" s="87" t="str">
        <v/>
      </c>
      <c r="G905" s="87">
        <v>0</v>
      </c>
      <c r="H905" s="87" t="str">
        <v/>
      </c>
    </row>
    <row r="906" spans="2:8" x14ac:dyDescent="0.2">
      <c r="B906" s="87" t="str">
        <v/>
      </c>
      <c r="G906" s="87">
        <v>0</v>
      </c>
      <c r="H906" s="87" t="str">
        <v/>
      </c>
    </row>
    <row r="907" spans="2:8" x14ac:dyDescent="0.2">
      <c r="B907" s="87" t="str">
        <v/>
      </c>
      <c r="G907" s="87">
        <v>0</v>
      </c>
      <c r="H907" s="87" t="str">
        <v/>
      </c>
    </row>
    <row r="908" spans="2:8" x14ac:dyDescent="0.2">
      <c r="B908" s="87" t="str">
        <v/>
      </c>
      <c r="G908" s="87">
        <v>0</v>
      </c>
      <c r="H908" s="87" t="str">
        <v/>
      </c>
    </row>
    <row r="909" spans="2:8" x14ac:dyDescent="0.2">
      <c r="B909" s="87" t="str">
        <v/>
      </c>
      <c r="G909" s="87">
        <v>0</v>
      </c>
      <c r="H909" s="87" t="str">
        <v/>
      </c>
    </row>
    <row r="910" spans="2:8" x14ac:dyDescent="0.2">
      <c r="B910" s="87" t="str">
        <v/>
      </c>
      <c r="G910" s="87">
        <v>0</v>
      </c>
      <c r="H910" s="87" t="str">
        <v/>
      </c>
    </row>
    <row r="911" spans="2:8" x14ac:dyDescent="0.2">
      <c r="B911" s="87" t="str">
        <v/>
      </c>
      <c r="G911" s="87">
        <v>0</v>
      </c>
      <c r="H911" s="87" t="str">
        <v/>
      </c>
    </row>
    <row r="912" spans="2:8" x14ac:dyDescent="0.2">
      <c r="B912" s="87" t="str">
        <v/>
      </c>
      <c r="G912" s="87">
        <v>0</v>
      </c>
      <c r="H912" s="87" t="str">
        <v/>
      </c>
    </row>
    <row r="913" spans="2:8" x14ac:dyDescent="0.2">
      <c r="B913" s="87" t="str">
        <v/>
      </c>
      <c r="G913" s="87">
        <v>0</v>
      </c>
      <c r="H913" s="87" t="str">
        <v/>
      </c>
    </row>
    <row r="914" spans="2:8" x14ac:dyDescent="0.2">
      <c r="B914" s="87" t="str">
        <v/>
      </c>
      <c r="G914" s="87">
        <v>0</v>
      </c>
      <c r="H914" s="87" t="str">
        <v/>
      </c>
    </row>
    <row r="915" spans="2:8" x14ac:dyDescent="0.2">
      <c r="B915" s="87" t="str">
        <v/>
      </c>
      <c r="G915" s="87">
        <v>0</v>
      </c>
      <c r="H915" s="87" t="str">
        <v/>
      </c>
    </row>
    <row r="916" spans="2:8" x14ac:dyDescent="0.2">
      <c r="B916" s="87" t="str">
        <v/>
      </c>
      <c r="G916" s="87">
        <v>0</v>
      </c>
      <c r="H916" s="87" t="str">
        <v/>
      </c>
    </row>
    <row r="917" spans="2:8" x14ac:dyDescent="0.2">
      <c r="B917" s="87" t="str">
        <v/>
      </c>
      <c r="G917" s="87">
        <v>0</v>
      </c>
      <c r="H917" s="87" t="str">
        <v/>
      </c>
    </row>
    <row r="918" spans="2:8" x14ac:dyDescent="0.2">
      <c r="B918" s="87" t="str">
        <v/>
      </c>
      <c r="G918" s="87">
        <v>0</v>
      </c>
      <c r="H918" s="87" t="str">
        <v/>
      </c>
    </row>
    <row r="919" spans="2:8" x14ac:dyDescent="0.2">
      <c r="B919" s="87" t="str">
        <v/>
      </c>
      <c r="G919" s="87">
        <v>0</v>
      </c>
      <c r="H919" s="87" t="str">
        <v/>
      </c>
    </row>
    <row r="920" spans="2:8" x14ac:dyDescent="0.2">
      <c r="B920" s="87" t="str">
        <v/>
      </c>
      <c r="G920" s="87">
        <v>0</v>
      </c>
      <c r="H920" s="87" t="str">
        <v/>
      </c>
    </row>
    <row r="921" spans="2:8" x14ac:dyDescent="0.2">
      <c r="B921" s="87" t="str">
        <v/>
      </c>
      <c r="G921" s="87">
        <v>0</v>
      </c>
      <c r="H921" s="87" t="str">
        <v/>
      </c>
    </row>
    <row r="922" spans="2:8" x14ac:dyDescent="0.2">
      <c r="B922" s="87" t="str">
        <v/>
      </c>
      <c r="G922" s="87">
        <v>0</v>
      </c>
      <c r="H922" s="87" t="str">
        <v/>
      </c>
    </row>
    <row r="923" spans="2:8" x14ac:dyDescent="0.2">
      <c r="B923" s="87" t="str">
        <v/>
      </c>
      <c r="G923" s="87">
        <v>0</v>
      </c>
      <c r="H923" s="87" t="str">
        <v/>
      </c>
    </row>
    <row r="924" spans="2:8" x14ac:dyDescent="0.2">
      <c r="B924" s="87" t="str">
        <v/>
      </c>
      <c r="G924" s="87">
        <v>0</v>
      </c>
      <c r="H924" s="87" t="str">
        <v/>
      </c>
    </row>
    <row r="925" spans="2:8" x14ac:dyDescent="0.2">
      <c r="B925" s="87" t="str">
        <v/>
      </c>
      <c r="G925" s="87">
        <v>0</v>
      </c>
      <c r="H925" s="87" t="str">
        <v/>
      </c>
    </row>
    <row r="926" spans="2:8" x14ac:dyDescent="0.2">
      <c r="B926" s="87" t="str">
        <v/>
      </c>
      <c r="G926" s="87">
        <v>0</v>
      </c>
      <c r="H926" s="87" t="str">
        <v/>
      </c>
    </row>
    <row r="927" spans="2:8" x14ac:dyDescent="0.2">
      <c r="B927" s="87" t="str">
        <v/>
      </c>
      <c r="G927" s="87">
        <v>0</v>
      </c>
      <c r="H927" s="87" t="str">
        <v/>
      </c>
    </row>
    <row r="928" spans="2:8" x14ac:dyDescent="0.2">
      <c r="B928" s="87" t="str">
        <v/>
      </c>
      <c r="G928" s="87">
        <v>0</v>
      </c>
      <c r="H928" s="87" t="str">
        <v/>
      </c>
    </row>
    <row r="929" spans="2:8" x14ac:dyDescent="0.2">
      <c r="B929" s="87" t="str">
        <v/>
      </c>
      <c r="G929" s="87">
        <v>0</v>
      </c>
      <c r="H929" s="87" t="str">
        <v/>
      </c>
    </row>
    <row r="930" spans="2:8" x14ac:dyDescent="0.2">
      <c r="B930" s="87" t="str">
        <v/>
      </c>
      <c r="G930" s="87">
        <v>0</v>
      </c>
      <c r="H930" s="87" t="str">
        <v/>
      </c>
    </row>
    <row r="931" spans="2:8" x14ac:dyDescent="0.2">
      <c r="B931" s="87" t="str">
        <v/>
      </c>
      <c r="G931" s="87">
        <v>0</v>
      </c>
      <c r="H931" s="87" t="str">
        <v/>
      </c>
    </row>
    <row r="932" spans="2:8" x14ac:dyDescent="0.2">
      <c r="B932" s="87" t="str">
        <v/>
      </c>
      <c r="G932" s="87">
        <v>0</v>
      </c>
      <c r="H932" s="87" t="str">
        <v/>
      </c>
    </row>
    <row r="933" spans="2:8" x14ac:dyDescent="0.2">
      <c r="B933" s="87" t="str">
        <v/>
      </c>
      <c r="G933" s="87">
        <v>0</v>
      </c>
      <c r="H933" s="87" t="str">
        <v/>
      </c>
    </row>
    <row r="934" spans="2:8" x14ac:dyDescent="0.2">
      <c r="B934" s="87" t="str">
        <v/>
      </c>
      <c r="G934" s="87">
        <v>0</v>
      </c>
      <c r="H934" s="87" t="str">
        <v/>
      </c>
    </row>
    <row r="935" spans="2:8" x14ac:dyDescent="0.2">
      <c r="B935" s="87" t="str">
        <v/>
      </c>
      <c r="G935" s="87">
        <v>0</v>
      </c>
      <c r="H935" s="87" t="str">
        <v/>
      </c>
    </row>
    <row r="936" spans="2:8" x14ac:dyDescent="0.2">
      <c r="B936" s="87" t="str">
        <v/>
      </c>
      <c r="G936" s="87">
        <v>0</v>
      </c>
      <c r="H936" s="87" t="str">
        <v/>
      </c>
    </row>
    <row r="937" spans="2:8" x14ac:dyDescent="0.2">
      <c r="B937" s="87" t="str">
        <v/>
      </c>
      <c r="G937" s="87">
        <v>0</v>
      </c>
      <c r="H937" s="87" t="str">
        <v/>
      </c>
    </row>
    <row r="938" spans="2:8" x14ac:dyDescent="0.2">
      <c r="B938" s="87" t="str">
        <v/>
      </c>
      <c r="G938" s="87">
        <v>0</v>
      </c>
      <c r="H938" s="87" t="str">
        <v/>
      </c>
    </row>
    <row r="939" spans="2:8" x14ac:dyDescent="0.2">
      <c r="B939" s="87" t="str">
        <v/>
      </c>
      <c r="G939" s="87">
        <v>0</v>
      </c>
      <c r="H939" s="87" t="str">
        <v/>
      </c>
    </row>
    <row r="940" spans="2:8" x14ac:dyDescent="0.2">
      <c r="B940" s="87" t="str">
        <v/>
      </c>
      <c r="G940" s="87">
        <v>0</v>
      </c>
      <c r="H940" s="87" t="str">
        <v/>
      </c>
    </row>
    <row r="941" spans="2:8" x14ac:dyDescent="0.2">
      <c r="B941" s="87" t="str">
        <v/>
      </c>
      <c r="G941" s="87">
        <v>0</v>
      </c>
      <c r="H941" s="87" t="str">
        <v/>
      </c>
    </row>
    <row r="942" spans="2:8" x14ac:dyDescent="0.2">
      <c r="B942" s="87" t="str">
        <v/>
      </c>
      <c r="G942" s="87">
        <v>0</v>
      </c>
      <c r="H942" s="87" t="str">
        <v/>
      </c>
    </row>
    <row r="943" spans="2:8" x14ac:dyDescent="0.2">
      <c r="B943" s="87" t="str">
        <v/>
      </c>
      <c r="G943" s="87">
        <v>0</v>
      </c>
      <c r="H943" s="87" t="str">
        <v/>
      </c>
    </row>
    <row r="944" spans="2:8" x14ac:dyDescent="0.2">
      <c r="B944" s="87" t="str">
        <v/>
      </c>
      <c r="G944" s="87">
        <v>0</v>
      </c>
      <c r="H944" s="87" t="str">
        <v/>
      </c>
    </row>
    <row r="945" spans="2:8" x14ac:dyDescent="0.2">
      <c r="B945" s="87" t="str">
        <v/>
      </c>
      <c r="G945" s="87">
        <v>0</v>
      </c>
      <c r="H945" s="87" t="str">
        <v/>
      </c>
    </row>
    <row r="946" spans="2:8" x14ac:dyDescent="0.2">
      <c r="B946" s="87" t="str">
        <v/>
      </c>
      <c r="G946" s="87">
        <v>0</v>
      </c>
      <c r="H946" s="87" t="str">
        <v/>
      </c>
    </row>
    <row r="947" spans="2:8" x14ac:dyDescent="0.2">
      <c r="B947" s="87" t="str">
        <v/>
      </c>
      <c r="G947" s="87">
        <v>0</v>
      </c>
      <c r="H947" s="87" t="str">
        <v/>
      </c>
    </row>
    <row r="948" spans="2:8" x14ac:dyDescent="0.2">
      <c r="B948" s="87" t="str">
        <v/>
      </c>
      <c r="G948" s="87">
        <v>0</v>
      </c>
      <c r="H948" s="87" t="str">
        <v/>
      </c>
    </row>
    <row r="949" spans="2:8" x14ac:dyDescent="0.2">
      <c r="B949" s="87" t="str">
        <v/>
      </c>
      <c r="G949" s="87">
        <v>0</v>
      </c>
      <c r="H949" s="87" t="str">
        <v/>
      </c>
    </row>
    <row r="950" spans="2:8" x14ac:dyDescent="0.2">
      <c r="B950" s="87" t="str">
        <v/>
      </c>
      <c r="G950" s="87">
        <v>0</v>
      </c>
      <c r="H950" s="87" t="str">
        <v/>
      </c>
    </row>
    <row r="951" spans="2:8" x14ac:dyDescent="0.2">
      <c r="B951" s="87" t="str">
        <v/>
      </c>
      <c r="G951" s="87">
        <v>0</v>
      </c>
      <c r="H951" s="87" t="str">
        <v/>
      </c>
    </row>
    <row r="952" spans="2:8" x14ac:dyDescent="0.2">
      <c r="B952" s="87" t="str">
        <v/>
      </c>
      <c r="G952" s="87">
        <v>0</v>
      </c>
      <c r="H952" s="87" t="str">
        <v/>
      </c>
    </row>
    <row r="953" spans="2:8" x14ac:dyDescent="0.2">
      <c r="B953" s="87" t="str">
        <v/>
      </c>
      <c r="G953" s="87">
        <v>0</v>
      </c>
      <c r="H953" s="87" t="str">
        <v/>
      </c>
    </row>
    <row r="954" spans="2:8" x14ac:dyDescent="0.2">
      <c r="B954" s="87" t="str">
        <v/>
      </c>
      <c r="G954" s="87">
        <v>0</v>
      </c>
      <c r="H954" s="87" t="str">
        <v/>
      </c>
    </row>
    <row r="955" spans="2:8" x14ac:dyDescent="0.2">
      <c r="B955" s="87" t="str">
        <v/>
      </c>
      <c r="G955" s="87">
        <v>0</v>
      </c>
      <c r="H955" s="87" t="str">
        <v/>
      </c>
    </row>
    <row r="956" spans="2:8" x14ac:dyDescent="0.2">
      <c r="B956" s="87" t="str">
        <v/>
      </c>
      <c r="G956" s="87">
        <v>0</v>
      </c>
      <c r="H956" s="87" t="str">
        <v/>
      </c>
    </row>
    <row r="957" spans="2:8" x14ac:dyDescent="0.2">
      <c r="B957" s="87" t="str">
        <v/>
      </c>
      <c r="G957" s="87">
        <v>0</v>
      </c>
      <c r="H957" s="87" t="str">
        <v/>
      </c>
    </row>
    <row r="958" spans="2:8" x14ac:dyDescent="0.2">
      <c r="B958" s="87" t="str">
        <v/>
      </c>
      <c r="G958" s="87">
        <v>0</v>
      </c>
      <c r="H958" s="87" t="str">
        <v/>
      </c>
    </row>
    <row r="959" spans="2:8" x14ac:dyDescent="0.2">
      <c r="B959" s="87" t="str">
        <v/>
      </c>
      <c r="G959" s="87">
        <v>0</v>
      </c>
      <c r="H959" s="87" t="str">
        <v/>
      </c>
    </row>
    <row r="960" spans="2:8" x14ac:dyDescent="0.2">
      <c r="B960" s="87" t="str">
        <v/>
      </c>
      <c r="G960" s="87">
        <v>0</v>
      </c>
      <c r="H960" s="87" t="str">
        <v/>
      </c>
    </row>
    <row r="961" spans="2:8" x14ac:dyDescent="0.2">
      <c r="B961" s="87" t="str">
        <v/>
      </c>
      <c r="G961" s="87">
        <v>0</v>
      </c>
      <c r="H961" s="87" t="str">
        <v/>
      </c>
    </row>
    <row r="962" spans="2:8" x14ac:dyDescent="0.2">
      <c r="B962" s="87" t="str">
        <v/>
      </c>
      <c r="G962" s="87">
        <v>0</v>
      </c>
      <c r="H962" s="87" t="str">
        <v/>
      </c>
    </row>
    <row r="963" spans="2:8" x14ac:dyDescent="0.2">
      <c r="B963" s="87" t="str">
        <v/>
      </c>
      <c r="G963" s="87">
        <v>0</v>
      </c>
      <c r="H963" s="87" t="str">
        <v/>
      </c>
    </row>
    <row r="964" spans="2:8" x14ac:dyDescent="0.2">
      <c r="B964" s="87" t="str">
        <v/>
      </c>
      <c r="G964" s="87">
        <v>0</v>
      </c>
      <c r="H964" s="87" t="str">
        <v/>
      </c>
    </row>
    <row r="965" spans="2:8" x14ac:dyDescent="0.2">
      <c r="B965" s="87" t="str">
        <v/>
      </c>
      <c r="G965" s="87">
        <v>0</v>
      </c>
      <c r="H965" s="87" t="str">
        <v/>
      </c>
    </row>
    <row r="966" spans="2:8" x14ac:dyDescent="0.2">
      <c r="B966" s="87" t="str">
        <v/>
      </c>
      <c r="G966" s="87">
        <v>0</v>
      </c>
      <c r="H966" s="87" t="str">
        <v/>
      </c>
    </row>
    <row r="967" spans="2:8" x14ac:dyDescent="0.2">
      <c r="B967" s="87" t="str">
        <v/>
      </c>
      <c r="G967" s="87">
        <v>0</v>
      </c>
      <c r="H967" s="87" t="str">
        <v/>
      </c>
    </row>
    <row r="968" spans="2:8" x14ac:dyDescent="0.2">
      <c r="B968" s="87" t="str">
        <v/>
      </c>
      <c r="G968" s="87">
        <v>0</v>
      </c>
      <c r="H968" s="87" t="str">
        <v/>
      </c>
    </row>
    <row r="969" spans="2:8" x14ac:dyDescent="0.2">
      <c r="B969" s="87" t="str">
        <v/>
      </c>
      <c r="G969" s="87">
        <v>0</v>
      </c>
      <c r="H969" s="87" t="str">
        <v/>
      </c>
    </row>
    <row r="970" spans="2:8" x14ac:dyDescent="0.2">
      <c r="B970" s="87" t="str">
        <v/>
      </c>
      <c r="G970" s="87">
        <v>0</v>
      </c>
      <c r="H970" s="87" t="str">
        <v/>
      </c>
    </row>
    <row r="971" spans="2:8" x14ac:dyDescent="0.2">
      <c r="B971" s="87" t="str">
        <v/>
      </c>
      <c r="G971" s="87">
        <v>0</v>
      </c>
      <c r="H971" s="87" t="str">
        <v/>
      </c>
    </row>
    <row r="972" spans="2:8" x14ac:dyDescent="0.2">
      <c r="B972" s="87" t="str">
        <v/>
      </c>
      <c r="G972" s="87">
        <v>0</v>
      </c>
      <c r="H972" s="87" t="str">
        <v/>
      </c>
    </row>
    <row r="973" spans="2:8" x14ac:dyDescent="0.2">
      <c r="B973" s="87" t="str">
        <v/>
      </c>
      <c r="G973" s="87">
        <v>0</v>
      </c>
      <c r="H973" s="87" t="str">
        <v/>
      </c>
    </row>
    <row r="974" spans="2:8" x14ac:dyDescent="0.2">
      <c r="B974" s="87" t="str">
        <v/>
      </c>
      <c r="G974" s="87">
        <v>0</v>
      </c>
      <c r="H974" s="87" t="str">
        <v/>
      </c>
    </row>
    <row r="975" spans="2:8" x14ac:dyDescent="0.2">
      <c r="B975" s="87" t="str">
        <v/>
      </c>
      <c r="G975" s="87">
        <v>0</v>
      </c>
      <c r="H975" s="87" t="str">
        <v/>
      </c>
    </row>
    <row r="976" spans="2:8" x14ac:dyDescent="0.2">
      <c r="B976" s="87" t="str">
        <v/>
      </c>
      <c r="G976" s="87">
        <v>0</v>
      </c>
      <c r="H976" s="87" t="str">
        <v/>
      </c>
    </row>
    <row r="977" spans="2:8" x14ac:dyDescent="0.2">
      <c r="B977" s="87" t="str">
        <v/>
      </c>
      <c r="G977" s="87">
        <v>0</v>
      </c>
      <c r="H977" s="87" t="str">
        <v/>
      </c>
    </row>
    <row r="978" spans="2:8" x14ac:dyDescent="0.2">
      <c r="B978" s="87" t="str">
        <v/>
      </c>
      <c r="G978" s="87">
        <v>0</v>
      </c>
      <c r="H978" s="87" t="str">
        <v/>
      </c>
    </row>
    <row r="979" spans="2:8" x14ac:dyDescent="0.2">
      <c r="B979" s="87" t="str">
        <v/>
      </c>
      <c r="G979" s="87">
        <v>0</v>
      </c>
      <c r="H979" s="87" t="str">
        <v/>
      </c>
    </row>
    <row r="980" spans="2:8" x14ac:dyDescent="0.2">
      <c r="B980" s="87" t="str">
        <v/>
      </c>
      <c r="G980" s="87">
        <v>0</v>
      </c>
      <c r="H980" s="87" t="str">
        <v/>
      </c>
    </row>
    <row r="981" spans="2:8" x14ac:dyDescent="0.2">
      <c r="B981" s="87" t="str">
        <v/>
      </c>
      <c r="G981" s="87">
        <v>0</v>
      </c>
      <c r="H981" s="87" t="str">
        <v/>
      </c>
    </row>
    <row r="982" spans="2:8" x14ac:dyDescent="0.2">
      <c r="B982" s="87" t="str">
        <v/>
      </c>
      <c r="G982" s="87">
        <v>0</v>
      </c>
      <c r="H982" s="87" t="str">
        <v/>
      </c>
    </row>
    <row r="983" spans="2:8" x14ac:dyDescent="0.2">
      <c r="B983" s="87" t="str">
        <v/>
      </c>
      <c r="G983" s="87">
        <v>0</v>
      </c>
      <c r="H983" s="87" t="str">
        <v/>
      </c>
    </row>
    <row r="984" spans="2:8" x14ac:dyDescent="0.2">
      <c r="B984" s="87" t="str">
        <v/>
      </c>
      <c r="G984" s="87">
        <v>0</v>
      </c>
      <c r="H984" s="87" t="str">
        <v/>
      </c>
    </row>
    <row r="985" spans="2:8" x14ac:dyDescent="0.2">
      <c r="B985" s="87" t="str">
        <v/>
      </c>
      <c r="G985" s="87">
        <v>0</v>
      </c>
      <c r="H985" s="87" t="str">
        <v/>
      </c>
    </row>
    <row r="986" spans="2:8" x14ac:dyDescent="0.2">
      <c r="B986" s="87" t="str">
        <v/>
      </c>
      <c r="G986" s="87">
        <v>0</v>
      </c>
      <c r="H986" s="87" t="str">
        <v/>
      </c>
    </row>
    <row r="987" spans="2:8" x14ac:dyDescent="0.2">
      <c r="B987" s="87" t="str">
        <v/>
      </c>
      <c r="G987" s="87">
        <v>0</v>
      </c>
      <c r="H987" s="87" t="str">
        <v/>
      </c>
    </row>
    <row r="988" spans="2:8" x14ac:dyDescent="0.2">
      <c r="B988" s="87" t="str">
        <v/>
      </c>
      <c r="G988" s="87">
        <v>0</v>
      </c>
      <c r="H988" s="87" t="str">
        <v/>
      </c>
    </row>
    <row r="989" spans="2:8" x14ac:dyDescent="0.2">
      <c r="B989" s="87" t="str">
        <v/>
      </c>
      <c r="G989" s="87">
        <v>0</v>
      </c>
      <c r="H989" s="87" t="str">
        <v/>
      </c>
    </row>
    <row r="990" spans="2:8" x14ac:dyDescent="0.2">
      <c r="B990" s="87" t="str">
        <v/>
      </c>
      <c r="G990" s="87">
        <v>0</v>
      </c>
      <c r="H990" s="87" t="str">
        <v/>
      </c>
    </row>
    <row r="991" spans="2:8" x14ac:dyDescent="0.2">
      <c r="B991" s="87" t="str">
        <v/>
      </c>
      <c r="G991" s="87">
        <v>0</v>
      </c>
      <c r="H991" s="87" t="str">
        <v/>
      </c>
    </row>
    <row r="992" spans="2:8" x14ac:dyDescent="0.2">
      <c r="B992" s="87" t="str">
        <v/>
      </c>
      <c r="G992" s="87">
        <v>0</v>
      </c>
      <c r="H992" s="87" t="str">
        <v/>
      </c>
    </row>
    <row r="993" spans="2:8" x14ac:dyDescent="0.2">
      <c r="B993" s="87" t="str">
        <v/>
      </c>
      <c r="G993" s="87">
        <v>0</v>
      </c>
      <c r="H993" s="87" t="str">
        <v/>
      </c>
    </row>
    <row r="994" spans="2:8" x14ac:dyDescent="0.2">
      <c r="B994" s="87" t="str">
        <v/>
      </c>
      <c r="G994" s="87">
        <v>0</v>
      </c>
      <c r="H994" s="87" t="str">
        <v/>
      </c>
    </row>
    <row r="995" spans="2:8" x14ac:dyDescent="0.2">
      <c r="B995" s="87" t="str">
        <v/>
      </c>
      <c r="G995" s="87">
        <v>0</v>
      </c>
      <c r="H995" s="87" t="str">
        <v/>
      </c>
    </row>
    <row r="996" spans="2:8" x14ac:dyDescent="0.2">
      <c r="B996" s="87" t="str">
        <v/>
      </c>
      <c r="G996" s="87">
        <v>0</v>
      </c>
      <c r="H996" s="87" t="str">
        <v/>
      </c>
    </row>
    <row r="997" spans="2:8" x14ac:dyDescent="0.2">
      <c r="B997" s="87" t="str">
        <v/>
      </c>
      <c r="G997" s="87">
        <v>0</v>
      </c>
      <c r="H997" s="87" t="str">
        <v/>
      </c>
    </row>
    <row r="998" spans="2:8" x14ac:dyDescent="0.2">
      <c r="B998" s="87" t="str">
        <v/>
      </c>
      <c r="G998" s="87">
        <v>0</v>
      </c>
      <c r="H998" s="87" t="str">
        <v/>
      </c>
    </row>
    <row r="999" spans="2:8" x14ac:dyDescent="0.2">
      <c r="B999" s="87" t="str">
        <v/>
      </c>
      <c r="G999" s="87">
        <v>0</v>
      </c>
      <c r="H999" s="87" t="str">
        <v/>
      </c>
    </row>
    <row r="1000" spans="2:8" x14ac:dyDescent="0.2">
      <c r="B1000" s="87" t="str">
        <v/>
      </c>
      <c r="G1000" s="87">
        <v>0</v>
      </c>
      <c r="H1000" s="87" t="str">
        <v/>
      </c>
    </row>
    <row r="1001" spans="2:8" x14ac:dyDescent="0.2">
      <c r="B1001" s="87" t="str">
        <v/>
      </c>
      <c r="G1001" s="87">
        <v>0</v>
      </c>
      <c r="H1001" s="87" t="str">
        <v/>
      </c>
    </row>
    <row r="1002" spans="2:8" x14ac:dyDescent="0.2">
      <c r="B1002" s="87" t="str">
        <v/>
      </c>
      <c r="G1002" s="87">
        <v>0</v>
      </c>
      <c r="H1002" s="87" t="str">
        <v/>
      </c>
    </row>
    <row r="1003" spans="2:8" x14ac:dyDescent="0.2">
      <c r="B1003" s="87" t="str">
        <v/>
      </c>
      <c r="G1003" s="87">
        <v>0</v>
      </c>
      <c r="H1003" s="87" t="str">
        <v/>
      </c>
    </row>
    <row r="1004" spans="2:8" x14ac:dyDescent="0.2">
      <c r="B1004" s="87" t="str">
        <v/>
      </c>
      <c r="G1004" s="87">
        <v>0</v>
      </c>
      <c r="H1004" s="87" t="str">
        <v/>
      </c>
    </row>
    <row r="1005" spans="2:8" x14ac:dyDescent="0.2">
      <c r="B1005" s="87" t="str">
        <v/>
      </c>
      <c r="G1005" s="87">
        <v>0</v>
      </c>
      <c r="H1005" s="87" t="str">
        <v/>
      </c>
    </row>
    <row r="1006" spans="2:8" x14ac:dyDescent="0.2">
      <c r="B1006" s="87" t="str">
        <v/>
      </c>
      <c r="G1006" s="87">
        <v>0</v>
      </c>
      <c r="H1006" s="87" t="str">
        <v/>
      </c>
    </row>
    <row r="1007" spans="2:8" x14ac:dyDescent="0.2">
      <c r="B1007" s="87" t="str">
        <v/>
      </c>
      <c r="G1007" s="87">
        <v>0</v>
      </c>
      <c r="H1007" s="87" t="str">
        <v/>
      </c>
    </row>
    <row r="1008" spans="2:8" x14ac:dyDescent="0.2">
      <c r="B1008" s="87" t="str">
        <v/>
      </c>
      <c r="G1008" s="87">
        <v>0</v>
      </c>
      <c r="H1008" s="87" t="str">
        <v/>
      </c>
    </row>
    <row r="1009" spans="2:8" x14ac:dyDescent="0.2">
      <c r="B1009" s="87" t="str">
        <v/>
      </c>
      <c r="G1009" s="87">
        <v>0</v>
      </c>
      <c r="H1009" s="87" t="str">
        <v/>
      </c>
    </row>
    <row r="1010" spans="2:8" x14ac:dyDescent="0.2">
      <c r="B1010" s="87" t="str">
        <v/>
      </c>
      <c r="G1010" s="87">
        <v>0</v>
      </c>
      <c r="H1010" s="87" t="str">
        <v/>
      </c>
    </row>
    <row r="1011" spans="2:8" x14ac:dyDescent="0.2">
      <c r="B1011" s="87" t="str">
        <v/>
      </c>
      <c r="G1011" s="87">
        <v>0</v>
      </c>
      <c r="H1011" s="87" t="str">
        <v/>
      </c>
    </row>
    <row r="1012" spans="2:8" x14ac:dyDescent="0.2">
      <c r="B1012" s="87" t="str">
        <v/>
      </c>
      <c r="G1012" s="87">
        <v>0</v>
      </c>
      <c r="H1012" s="87" t="str">
        <v/>
      </c>
    </row>
    <row r="1013" spans="2:8" x14ac:dyDescent="0.2">
      <c r="B1013" s="87" t="str">
        <v/>
      </c>
      <c r="G1013" s="87">
        <v>0</v>
      </c>
      <c r="H1013" s="87" t="str">
        <v/>
      </c>
    </row>
    <row r="1014" spans="2:8" x14ac:dyDescent="0.2">
      <c r="B1014" s="87" t="str">
        <v/>
      </c>
      <c r="G1014" s="87">
        <v>0</v>
      </c>
      <c r="H1014" s="87" t="str">
        <v/>
      </c>
    </row>
    <row r="1015" spans="2:8" x14ac:dyDescent="0.2">
      <c r="B1015" s="87" t="str">
        <v/>
      </c>
      <c r="G1015" s="87">
        <v>0</v>
      </c>
      <c r="H1015" s="87" t="str">
        <v/>
      </c>
    </row>
    <row r="1016" spans="2:8" x14ac:dyDescent="0.2">
      <c r="B1016" s="87" t="str">
        <v/>
      </c>
      <c r="G1016" s="87">
        <v>0</v>
      </c>
      <c r="H1016" s="87" t="str">
        <v/>
      </c>
    </row>
    <row r="1017" spans="2:8" x14ac:dyDescent="0.2">
      <c r="B1017" s="87" t="str">
        <v/>
      </c>
      <c r="G1017" s="87">
        <v>0</v>
      </c>
      <c r="H1017" s="87" t="str">
        <v/>
      </c>
    </row>
    <row r="1018" spans="2:8" x14ac:dyDescent="0.2">
      <c r="B1018" s="87" t="str">
        <v/>
      </c>
      <c r="G1018" s="87">
        <v>0</v>
      </c>
      <c r="H1018" s="87" t="str">
        <v/>
      </c>
    </row>
    <row r="1019" spans="2:8" x14ac:dyDescent="0.2">
      <c r="B1019" s="87" t="str">
        <v/>
      </c>
      <c r="G1019" s="87">
        <v>0</v>
      </c>
      <c r="H1019" s="87" t="str">
        <v/>
      </c>
    </row>
    <row r="1020" spans="2:8" x14ac:dyDescent="0.2">
      <c r="B1020" s="87" t="str">
        <v/>
      </c>
      <c r="G1020" s="87">
        <v>0</v>
      </c>
      <c r="H1020" s="87" t="str">
        <v/>
      </c>
    </row>
    <row r="1021" spans="2:8" x14ac:dyDescent="0.2">
      <c r="B1021" s="87" t="str">
        <v/>
      </c>
      <c r="G1021" s="87">
        <v>0</v>
      </c>
      <c r="H1021" s="87" t="str">
        <v/>
      </c>
    </row>
    <row r="1022" spans="2:8" x14ac:dyDescent="0.2">
      <c r="B1022" s="87" t="str">
        <v/>
      </c>
      <c r="G1022" s="87">
        <v>0</v>
      </c>
      <c r="H1022" s="87" t="str">
        <v/>
      </c>
    </row>
    <row r="1023" spans="2:8" x14ac:dyDescent="0.2">
      <c r="B1023" s="87" t="str">
        <v/>
      </c>
      <c r="G1023" s="87">
        <v>0</v>
      </c>
      <c r="H1023" s="87" t="str">
        <v/>
      </c>
    </row>
    <row r="1024" spans="2:8" x14ac:dyDescent="0.2">
      <c r="B1024" s="87" t="str">
        <v/>
      </c>
      <c r="G1024" s="87">
        <v>0</v>
      </c>
      <c r="H1024" s="87" t="str">
        <v/>
      </c>
    </row>
    <row r="1025" spans="2:8" x14ac:dyDescent="0.2">
      <c r="B1025" s="87" t="str">
        <v/>
      </c>
      <c r="G1025" s="87">
        <v>0</v>
      </c>
      <c r="H1025" s="87" t="str">
        <v/>
      </c>
    </row>
    <row r="1026" spans="2:8" x14ac:dyDescent="0.2">
      <c r="B1026" s="87" t="str">
        <v/>
      </c>
      <c r="G1026" s="87">
        <v>0</v>
      </c>
      <c r="H1026" s="87" t="str">
        <v/>
      </c>
    </row>
    <row r="1027" spans="2:8" x14ac:dyDescent="0.2">
      <c r="B1027" s="87" t="str">
        <v/>
      </c>
      <c r="G1027" s="87">
        <v>0</v>
      </c>
      <c r="H1027" s="87" t="str">
        <v/>
      </c>
    </row>
    <row r="1028" spans="2:8" x14ac:dyDescent="0.2">
      <c r="B1028" s="87" t="str">
        <v/>
      </c>
      <c r="G1028" s="87">
        <v>0</v>
      </c>
      <c r="H1028" s="87" t="str">
        <v/>
      </c>
    </row>
    <row r="1029" spans="2:8" x14ac:dyDescent="0.2">
      <c r="B1029" s="87" t="str">
        <v/>
      </c>
      <c r="G1029" s="87">
        <v>0</v>
      </c>
      <c r="H1029" s="87" t="str">
        <v/>
      </c>
    </row>
    <row r="1030" spans="2:8" x14ac:dyDescent="0.2">
      <c r="B1030" s="87" t="str">
        <v/>
      </c>
      <c r="G1030" s="87">
        <v>0</v>
      </c>
      <c r="H1030" s="87" t="str">
        <v/>
      </c>
    </row>
    <row r="1031" spans="2:8" x14ac:dyDescent="0.2">
      <c r="B1031" s="87" t="str">
        <v/>
      </c>
      <c r="G1031" s="87">
        <v>0</v>
      </c>
      <c r="H1031" s="87" t="str">
        <v/>
      </c>
    </row>
    <row r="1032" spans="2:8" x14ac:dyDescent="0.2">
      <c r="B1032" s="87" t="str">
        <v/>
      </c>
      <c r="G1032" s="87">
        <v>0</v>
      </c>
      <c r="H1032" s="87" t="str">
        <v/>
      </c>
    </row>
    <row r="1033" spans="2:8" x14ac:dyDescent="0.2">
      <c r="B1033" s="87" t="str">
        <v/>
      </c>
      <c r="G1033" s="87">
        <v>0</v>
      </c>
      <c r="H1033" s="87" t="str">
        <v/>
      </c>
    </row>
    <row r="1034" spans="2:8" x14ac:dyDescent="0.2">
      <c r="B1034" s="87" t="str">
        <v/>
      </c>
      <c r="G1034" s="87">
        <v>0</v>
      </c>
      <c r="H1034" s="87" t="str">
        <v/>
      </c>
    </row>
    <row r="1035" spans="2:8" x14ac:dyDescent="0.2">
      <c r="B1035" s="87" t="str">
        <v/>
      </c>
      <c r="G1035" s="87">
        <v>0</v>
      </c>
      <c r="H1035" s="87" t="str">
        <v/>
      </c>
    </row>
    <row r="1036" spans="2:8" x14ac:dyDescent="0.2">
      <c r="B1036" s="87" t="str">
        <v/>
      </c>
      <c r="G1036" s="87">
        <v>0</v>
      </c>
      <c r="H1036" s="87" t="str">
        <v/>
      </c>
    </row>
    <row r="1037" spans="2:8" x14ac:dyDescent="0.2">
      <c r="B1037" s="87" t="str">
        <v/>
      </c>
      <c r="G1037" s="87">
        <v>0</v>
      </c>
      <c r="H1037" s="87" t="str">
        <v/>
      </c>
    </row>
    <row r="1038" spans="2:8" x14ac:dyDescent="0.2">
      <c r="B1038" s="87" t="str">
        <v/>
      </c>
      <c r="G1038" s="87">
        <v>0</v>
      </c>
      <c r="H1038" s="87" t="str">
        <v/>
      </c>
    </row>
    <row r="1039" spans="2:8" x14ac:dyDescent="0.2">
      <c r="B1039" s="87" t="str">
        <v/>
      </c>
      <c r="G1039" s="87">
        <v>0</v>
      </c>
      <c r="H1039" s="87" t="str">
        <v/>
      </c>
    </row>
    <row r="1040" spans="2:8" x14ac:dyDescent="0.2">
      <c r="B1040" s="87" t="str">
        <v/>
      </c>
      <c r="G1040" s="87">
        <v>0</v>
      </c>
      <c r="H1040" s="87" t="str">
        <v/>
      </c>
    </row>
    <row r="1041" spans="2:8" x14ac:dyDescent="0.2">
      <c r="B1041" s="87" t="str">
        <v/>
      </c>
      <c r="G1041" s="87">
        <v>0</v>
      </c>
      <c r="H1041" s="87" t="str">
        <v/>
      </c>
    </row>
    <row r="1042" spans="2:8" x14ac:dyDescent="0.2">
      <c r="B1042" s="87" t="str">
        <v/>
      </c>
      <c r="G1042" s="87">
        <v>0</v>
      </c>
      <c r="H1042" s="87" t="str">
        <v/>
      </c>
    </row>
    <row r="1043" spans="2:8" x14ac:dyDescent="0.2">
      <c r="B1043" s="87" t="str">
        <v/>
      </c>
      <c r="G1043" s="87">
        <v>0</v>
      </c>
      <c r="H1043" s="87" t="str">
        <v/>
      </c>
    </row>
    <row r="1044" spans="2:8" x14ac:dyDescent="0.2">
      <c r="B1044" s="87" t="str">
        <v/>
      </c>
      <c r="G1044" s="87">
        <v>0</v>
      </c>
      <c r="H1044" s="87" t="str">
        <v/>
      </c>
    </row>
    <row r="1045" spans="2:8" x14ac:dyDescent="0.2">
      <c r="B1045" s="87" t="str">
        <v/>
      </c>
      <c r="G1045" s="87">
        <v>0</v>
      </c>
      <c r="H1045" s="87" t="str">
        <v/>
      </c>
    </row>
    <row r="1046" spans="2:8" x14ac:dyDescent="0.2">
      <c r="B1046" s="87" t="str">
        <v/>
      </c>
      <c r="G1046" s="87">
        <v>0</v>
      </c>
      <c r="H1046" s="87" t="str">
        <v/>
      </c>
    </row>
    <row r="1047" spans="2:8" x14ac:dyDescent="0.2">
      <c r="B1047" s="87" t="str">
        <v/>
      </c>
      <c r="G1047" s="87">
        <v>0</v>
      </c>
      <c r="H1047" s="87" t="str">
        <v/>
      </c>
    </row>
    <row r="1048" spans="2:8" x14ac:dyDescent="0.2">
      <c r="B1048" s="87" t="str">
        <v/>
      </c>
      <c r="G1048" s="87">
        <v>0</v>
      </c>
      <c r="H1048" s="87" t="str">
        <v/>
      </c>
    </row>
    <row r="1049" spans="2:8" x14ac:dyDescent="0.2">
      <c r="B1049" s="87" t="str">
        <v/>
      </c>
      <c r="G1049" s="87">
        <v>0</v>
      </c>
      <c r="H1049" s="87" t="str">
        <v/>
      </c>
    </row>
    <row r="1050" spans="2:8" x14ac:dyDescent="0.2">
      <c r="B1050" s="87" t="str">
        <v/>
      </c>
      <c r="G1050" s="87">
        <v>0</v>
      </c>
      <c r="H1050" s="87" t="str">
        <v/>
      </c>
    </row>
    <row r="1051" spans="2:8" x14ac:dyDescent="0.2">
      <c r="B1051" s="87" t="str">
        <v/>
      </c>
      <c r="G1051" s="87">
        <v>0</v>
      </c>
      <c r="H1051" s="87" t="str">
        <v/>
      </c>
    </row>
    <row r="1052" spans="2:8" x14ac:dyDescent="0.2">
      <c r="B1052" s="87" t="str">
        <v/>
      </c>
      <c r="G1052" s="87">
        <v>0</v>
      </c>
      <c r="H1052" s="87" t="str">
        <v/>
      </c>
    </row>
    <row r="1053" spans="2:8" x14ac:dyDescent="0.2">
      <c r="B1053" s="87" t="str">
        <v/>
      </c>
      <c r="G1053" s="87">
        <v>0</v>
      </c>
      <c r="H1053" s="87" t="str">
        <v/>
      </c>
    </row>
    <row r="1054" spans="2:8" x14ac:dyDescent="0.2">
      <c r="B1054" s="87" t="str">
        <v/>
      </c>
      <c r="G1054" s="87">
        <v>0</v>
      </c>
      <c r="H1054" s="87" t="str">
        <v/>
      </c>
    </row>
    <row r="1055" spans="2:8" x14ac:dyDescent="0.2">
      <c r="B1055" s="87" t="str">
        <v/>
      </c>
      <c r="G1055" s="87">
        <v>0</v>
      </c>
      <c r="H1055" s="87" t="str">
        <v/>
      </c>
    </row>
    <row r="1056" spans="2:8" x14ac:dyDescent="0.2">
      <c r="B1056" s="87" t="str">
        <v/>
      </c>
      <c r="G1056" s="87">
        <v>0</v>
      </c>
      <c r="H1056" s="87" t="str">
        <v/>
      </c>
    </row>
    <row r="1057" spans="2:8" x14ac:dyDescent="0.2">
      <c r="B1057" s="87" t="str">
        <v/>
      </c>
      <c r="G1057" s="87">
        <v>0</v>
      </c>
      <c r="H1057" s="87" t="str">
        <v/>
      </c>
    </row>
    <row r="1058" spans="2:8" x14ac:dyDescent="0.2">
      <c r="B1058" s="87" t="str">
        <v/>
      </c>
      <c r="G1058" s="87">
        <v>0</v>
      </c>
      <c r="H1058" s="87" t="str">
        <v/>
      </c>
    </row>
    <row r="1059" spans="2:8" x14ac:dyDescent="0.2">
      <c r="B1059" s="87" t="str">
        <v/>
      </c>
      <c r="G1059" s="87">
        <v>0</v>
      </c>
      <c r="H1059" s="87" t="str">
        <v/>
      </c>
    </row>
    <row r="1060" spans="2:8" x14ac:dyDescent="0.2">
      <c r="B1060" s="87" t="str">
        <v/>
      </c>
      <c r="G1060" s="87">
        <v>0</v>
      </c>
      <c r="H1060" s="87" t="str">
        <v/>
      </c>
    </row>
    <row r="1061" spans="2:8" x14ac:dyDescent="0.2">
      <c r="B1061" s="87" t="str">
        <v/>
      </c>
      <c r="G1061" s="87">
        <v>0</v>
      </c>
      <c r="H1061" s="87" t="str">
        <v/>
      </c>
    </row>
    <row r="1062" spans="2:8" x14ac:dyDescent="0.2">
      <c r="B1062" s="87" t="str">
        <v/>
      </c>
      <c r="G1062" s="87">
        <v>0</v>
      </c>
      <c r="H1062" s="87" t="str">
        <v/>
      </c>
    </row>
    <row r="1063" spans="2:8" x14ac:dyDescent="0.2">
      <c r="B1063" s="87" t="str">
        <v/>
      </c>
      <c r="G1063" s="87">
        <v>0</v>
      </c>
      <c r="H1063" s="87" t="str">
        <v/>
      </c>
    </row>
    <row r="1064" spans="2:8" x14ac:dyDescent="0.2">
      <c r="B1064" s="87" t="str">
        <v/>
      </c>
      <c r="G1064" s="87">
        <v>0</v>
      </c>
      <c r="H1064" s="87" t="str">
        <v/>
      </c>
    </row>
    <row r="1065" spans="2:8" x14ac:dyDescent="0.2">
      <c r="B1065" s="87" t="str">
        <v/>
      </c>
      <c r="G1065" s="87">
        <v>0</v>
      </c>
      <c r="H1065" s="87" t="str">
        <v/>
      </c>
    </row>
    <row r="1066" spans="2:8" x14ac:dyDescent="0.2">
      <c r="B1066" s="87" t="str">
        <v/>
      </c>
      <c r="G1066" s="87">
        <v>0</v>
      </c>
      <c r="H1066" s="87" t="str">
        <v/>
      </c>
    </row>
    <row r="1067" spans="2:8" x14ac:dyDescent="0.2">
      <c r="B1067" s="87" t="str">
        <v/>
      </c>
      <c r="G1067" s="87">
        <v>0</v>
      </c>
      <c r="H1067" s="87" t="str">
        <v/>
      </c>
    </row>
    <row r="1068" spans="2:8" x14ac:dyDescent="0.2">
      <c r="B1068" s="87" t="str">
        <v/>
      </c>
      <c r="G1068" s="87">
        <v>0</v>
      </c>
      <c r="H1068" s="87" t="str">
        <v/>
      </c>
    </row>
    <row r="1069" spans="2:8" x14ac:dyDescent="0.2">
      <c r="B1069" s="87" t="str">
        <v/>
      </c>
      <c r="G1069" s="87">
        <v>0</v>
      </c>
      <c r="H1069" s="87" t="str">
        <v/>
      </c>
    </row>
    <row r="1070" spans="2:8" x14ac:dyDescent="0.2">
      <c r="B1070" s="87" t="str">
        <v/>
      </c>
      <c r="G1070" s="87">
        <v>0</v>
      </c>
      <c r="H1070" s="87" t="str">
        <v/>
      </c>
    </row>
    <row r="1071" spans="2:8" x14ac:dyDescent="0.2">
      <c r="B1071" s="87" t="str">
        <v/>
      </c>
      <c r="G1071" s="87">
        <v>0</v>
      </c>
      <c r="H1071" s="87" t="str">
        <v/>
      </c>
    </row>
    <row r="1072" spans="2:8" x14ac:dyDescent="0.2">
      <c r="B1072" s="87" t="str">
        <v/>
      </c>
      <c r="G1072" s="87">
        <v>0</v>
      </c>
      <c r="H1072" s="87" t="str">
        <v/>
      </c>
    </row>
    <row r="1073" spans="2:8" x14ac:dyDescent="0.2">
      <c r="B1073" s="87" t="str">
        <v/>
      </c>
      <c r="G1073" s="87">
        <v>0</v>
      </c>
      <c r="H1073" s="87" t="str">
        <v/>
      </c>
    </row>
    <row r="1074" spans="2:8" x14ac:dyDescent="0.2">
      <c r="B1074" s="87" t="str">
        <v/>
      </c>
      <c r="G1074" s="87">
        <v>0</v>
      </c>
      <c r="H1074" s="87" t="str">
        <v/>
      </c>
    </row>
    <row r="1075" spans="2:8" x14ac:dyDescent="0.2">
      <c r="B1075" s="87" t="str">
        <v/>
      </c>
      <c r="G1075" s="87">
        <v>0</v>
      </c>
      <c r="H1075" s="87" t="str">
        <v/>
      </c>
    </row>
    <row r="1076" spans="2:8" x14ac:dyDescent="0.2">
      <c r="B1076" s="87" t="str">
        <v/>
      </c>
      <c r="G1076" s="87">
        <v>0</v>
      </c>
      <c r="H1076" s="87" t="str">
        <v/>
      </c>
    </row>
    <row r="1077" spans="2:8" x14ac:dyDescent="0.2">
      <c r="B1077" s="87" t="str">
        <v/>
      </c>
      <c r="G1077" s="87">
        <v>0</v>
      </c>
      <c r="H1077" s="87" t="str">
        <v/>
      </c>
    </row>
    <row r="1078" spans="2:8" x14ac:dyDescent="0.2">
      <c r="B1078" s="87" t="str">
        <v/>
      </c>
      <c r="G1078" s="87">
        <v>0</v>
      </c>
      <c r="H1078" s="87" t="str">
        <v/>
      </c>
    </row>
    <row r="1079" spans="2:8" x14ac:dyDescent="0.2">
      <c r="B1079" s="87" t="str">
        <v/>
      </c>
      <c r="G1079" s="87">
        <v>0</v>
      </c>
      <c r="H1079" s="87" t="str">
        <v/>
      </c>
    </row>
    <row r="1080" spans="2:8" x14ac:dyDescent="0.2">
      <c r="B1080" s="87" t="str">
        <v/>
      </c>
      <c r="G1080" s="87">
        <v>0</v>
      </c>
      <c r="H1080" s="87" t="str">
        <v/>
      </c>
    </row>
    <row r="1081" spans="2:8" x14ac:dyDescent="0.2">
      <c r="B1081" s="87" t="str">
        <v/>
      </c>
      <c r="G1081" s="87">
        <v>0</v>
      </c>
      <c r="H1081" s="87" t="str">
        <v/>
      </c>
    </row>
    <row r="1082" spans="2:8" x14ac:dyDescent="0.2">
      <c r="B1082" s="87" t="str">
        <v/>
      </c>
      <c r="G1082" s="87">
        <v>0</v>
      </c>
      <c r="H1082" s="87" t="str">
        <v/>
      </c>
    </row>
    <row r="1083" spans="2:8" x14ac:dyDescent="0.2">
      <c r="B1083" s="87" t="str">
        <v/>
      </c>
      <c r="G1083" s="87">
        <v>0</v>
      </c>
      <c r="H1083" s="87" t="str">
        <v/>
      </c>
    </row>
    <row r="1084" spans="2:8" x14ac:dyDescent="0.2">
      <c r="B1084" s="87" t="str">
        <v/>
      </c>
      <c r="G1084" s="87">
        <v>0</v>
      </c>
      <c r="H1084" s="87" t="str">
        <v/>
      </c>
    </row>
    <row r="1085" spans="2:8" x14ac:dyDescent="0.2">
      <c r="B1085" s="87" t="str">
        <v/>
      </c>
      <c r="G1085" s="87">
        <v>0</v>
      </c>
      <c r="H1085" s="87" t="str">
        <v/>
      </c>
    </row>
    <row r="1086" spans="2:8" x14ac:dyDescent="0.2">
      <c r="B1086" s="87" t="str">
        <v/>
      </c>
      <c r="G1086" s="87">
        <v>0</v>
      </c>
      <c r="H1086" s="87" t="str">
        <v/>
      </c>
    </row>
    <row r="1087" spans="2:8" x14ac:dyDescent="0.2">
      <c r="B1087" s="87" t="str">
        <v/>
      </c>
      <c r="G1087" s="87">
        <v>0</v>
      </c>
      <c r="H1087" s="87" t="str">
        <v/>
      </c>
    </row>
    <row r="1088" spans="2:8" x14ac:dyDescent="0.2">
      <c r="B1088" s="87" t="str">
        <v/>
      </c>
      <c r="G1088" s="87">
        <v>0</v>
      </c>
      <c r="H1088" s="87" t="str">
        <v/>
      </c>
    </row>
    <row r="1089" spans="2:8" x14ac:dyDescent="0.2">
      <c r="B1089" s="87" t="str">
        <v/>
      </c>
      <c r="G1089" s="87">
        <v>0</v>
      </c>
      <c r="H1089" s="87" t="str">
        <v/>
      </c>
    </row>
    <row r="1090" spans="2:8" x14ac:dyDescent="0.2">
      <c r="B1090" s="87" t="str">
        <v/>
      </c>
      <c r="G1090" s="87">
        <v>0</v>
      </c>
      <c r="H1090" s="87" t="str">
        <v/>
      </c>
    </row>
    <row r="1091" spans="2:8" x14ac:dyDescent="0.2">
      <c r="B1091" s="87" t="str">
        <v/>
      </c>
      <c r="G1091" s="87">
        <v>0</v>
      </c>
      <c r="H1091" s="87" t="str">
        <v/>
      </c>
    </row>
    <row r="1092" spans="2:8" x14ac:dyDescent="0.2">
      <c r="B1092" s="87" t="str">
        <v/>
      </c>
      <c r="G1092" s="87">
        <v>0</v>
      </c>
      <c r="H1092" s="87" t="str">
        <v/>
      </c>
    </row>
    <row r="1093" spans="2:8" x14ac:dyDescent="0.2">
      <c r="B1093" s="87" t="str">
        <v/>
      </c>
      <c r="G1093" s="87">
        <v>0</v>
      </c>
      <c r="H1093" s="87" t="str">
        <v/>
      </c>
    </row>
    <row r="1094" spans="2:8" x14ac:dyDescent="0.2">
      <c r="B1094" s="87" t="str">
        <v/>
      </c>
      <c r="G1094" s="87">
        <v>0</v>
      </c>
      <c r="H1094" s="87" t="str">
        <v/>
      </c>
    </row>
    <row r="1095" spans="2:8" x14ac:dyDescent="0.2">
      <c r="B1095" s="87" t="str">
        <v/>
      </c>
      <c r="G1095" s="87">
        <v>0</v>
      </c>
      <c r="H1095" s="87" t="str">
        <v/>
      </c>
    </row>
    <row r="1096" spans="2:8" x14ac:dyDescent="0.2">
      <c r="B1096" s="87" t="str">
        <v/>
      </c>
      <c r="G1096" s="87">
        <v>0</v>
      </c>
      <c r="H1096" s="87" t="str">
        <v/>
      </c>
    </row>
    <row r="1097" spans="2:8" x14ac:dyDescent="0.2">
      <c r="B1097" s="87" t="str">
        <v/>
      </c>
      <c r="G1097" s="87">
        <v>0</v>
      </c>
      <c r="H1097" s="87" t="str">
        <v/>
      </c>
    </row>
    <row r="1098" spans="2:8" x14ac:dyDescent="0.2">
      <c r="B1098" s="87" t="str">
        <v/>
      </c>
      <c r="G1098" s="87">
        <v>0</v>
      </c>
      <c r="H1098" s="87" t="str">
        <v/>
      </c>
    </row>
    <row r="1099" spans="2:8" x14ac:dyDescent="0.2">
      <c r="B1099" s="87" t="str">
        <v/>
      </c>
      <c r="G1099" s="87">
        <v>0</v>
      </c>
      <c r="H1099" s="87" t="str">
        <v/>
      </c>
    </row>
    <row r="1100" spans="2:8" x14ac:dyDescent="0.2">
      <c r="B1100" s="87" t="str">
        <v/>
      </c>
      <c r="G1100" s="87">
        <v>0</v>
      </c>
      <c r="H1100" s="87" t="str">
        <v/>
      </c>
    </row>
    <row r="1101" spans="2:8" x14ac:dyDescent="0.2">
      <c r="B1101" s="87" t="str">
        <v/>
      </c>
      <c r="G1101" s="87">
        <v>0</v>
      </c>
      <c r="H1101" s="87" t="str">
        <v/>
      </c>
    </row>
    <row r="1102" spans="2:8" x14ac:dyDescent="0.2">
      <c r="B1102" s="87" t="str">
        <v/>
      </c>
      <c r="G1102" s="87">
        <v>0</v>
      </c>
      <c r="H1102" s="87" t="str">
        <v/>
      </c>
    </row>
    <row r="1103" spans="2:8" x14ac:dyDescent="0.2">
      <c r="B1103" s="87" t="str">
        <v/>
      </c>
      <c r="G1103" s="87">
        <v>0</v>
      </c>
      <c r="H1103" s="87" t="str">
        <v/>
      </c>
    </row>
    <row r="1104" spans="2:8" x14ac:dyDescent="0.2">
      <c r="B1104" s="87" t="str">
        <v/>
      </c>
      <c r="G1104" s="87">
        <v>0</v>
      </c>
      <c r="H1104" s="87" t="str">
        <v/>
      </c>
    </row>
    <row r="1105" spans="2:8" x14ac:dyDescent="0.2">
      <c r="B1105" s="87" t="str">
        <v/>
      </c>
      <c r="G1105" s="87">
        <v>0</v>
      </c>
      <c r="H1105" s="87" t="str">
        <v/>
      </c>
    </row>
    <row r="1106" spans="2:8" x14ac:dyDescent="0.2">
      <c r="B1106" s="87" t="str">
        <v/>
      </c>
      <c r="G1106" s="87">
        <v>0</v>
      </c>
      <c r="H1106" s="87" t="str">
        <v/>
      </c>
    </row>
    <row r="1107" spans="2:8" x14ac:dyDescent="0.2">
      <c r="B1107" s="87" t="str">
        <v/>
      </c>
      <c r="G1107" s="87">
        <v>0</v>
      </c>
      <c r="H1107" s="87" t="str">
        <v/>
      </c>
    </row>
    <row r="1108" spans="2:8" x14ac:dyDescent="0.2">
      <c r="B1108" s="87" t="str">
        <v/>
      </c>
      <c r="G1108" s="87">
        <v>0</v>
      </c>
      <c r="H1108" s="87" t="str">
        <v/>
      </c>
    </row>
    <row r="1109" spans="2:8" x14ac:dyDescent="0.2">
      <c r="B1109" s="87" t="str">
        <v/>
      </c>
      <c r="G1109" s="87">
        <v>0</v>
      </c>
      <c r="H1109" s="87" t="str">
        <v/>
      </c>
    </row>
    <row r="1110" spans="2:8" x14ac:dyDescent="0.2">
      <c r="B1110" s="87" t="str">
        <v/>
      </c>
      <c r="G1110" s="87">
        <v>0</v>
      </c>
      <c r="H1110" s="87" t="str">
        <v/>
      </c>
    </row>
    <row r="1111" spans="2:8" x14ac:dyDescent="0.2">
      <c r="B1111" s="87" t="str">
        <v/>
      </c>
      <c r="G1111" s="87">
        <v>0</v>
      </c>
      <c r="H1111" s="87" t="str">
        <v/>
      </c>
    </row>
    <row r="1112" spans="2:8" x14ac:dyDescent="0.2">
      <c r="B1112" s="87" t="str">
        <v/>
      </c>
      <c r="G1112" s="87">
        <v>0</v>
      </c>
      <c r="H1112" s="87" t="str">
        <v/>
      </c>
    </row>
    <row r="1113" spans="2:8" x14ac:dyDescent="0.2">
      <c r="B1113" s="87" t="str">
        <v/>
      </c>
      <c r="G1113" s="87">
        <v>0</v>
      </c>
      <c r="H1113" s="87" t="str">
        <v/>
      </c>
    </row>
    <row r="1114" spans="2:8" x14ac:dyDescent="0.2">
      <c r="B1114" s="87" t="str">
        <v/>
      </c>
      <c r="G1114" s="87">
        <v>0</v>
      </c>
      <c r="H1114" s="87" t="str">
        <v/>
      </c>
    </row>
    <row r="1115" spans="2:8" x14ac:dyDescent="0.2">
      <c r="B1115" s="87" t="str">
        <v/>
      </c>
      <c r="G1115" s="87">
        <v>0</v>
      </c>
      <c r="H1115" s="87" t="str">
        <v/>
      </c>
    </row>
    <row r="1116" spans="2:8" x14ac:dyDescent="0.2">
      <c r="B1116" s="87" t="str">
        <v/>
      </c>
      <c r="G1116" s="87">
        <v>0</v>
      </c>
      <c r="H1116" s="87" t="str">
        <v/>
      </c>
    </row>
    <row r="1117" spans="2:8" x14ac:dyDescent="0.2">
      <c r="B1117" s="87" t="str">
        <v/>
      </c>
      <c r="G1117" s="87">
        <v>0</v>
      </c>
      <c r="H1117" s="87" t="str">
        <v/>
      </c>
    </row>
    <row r="1118" spans="2:8" x14ac:dyDescent="0.2">
      <c r="B1118" s="87" t="str">
        <v/>
      </c>
      <c r="G1118" s="87">
        <v>0</v>
      </c>
      <c r="H1118" s="87" t="str">
        <v/>
      </c>
    </row>
    <row r="1119" spans="2:8" x14ac:dyDescent="0.2">
      <c r="B1119" s="87" t="str">
        <v/>
      </c>
      <c r="G1119" s="87">
        <v>0</v>
      </c>
      <c r="H1119" s="87" t="str">
        <v/>
      </c>
    </row>
    <row r="1120" spans="2:8" x14ac:dyDescent="0.2">
      <c r="B1120" s="87" t="str">
        <v/>
      </c>
      <c r="G1120" s="87">
        <v>0</v>
      </c>
      <c r="H1120" s="87" t="str">
        <v/>
      </c>
    </row>
    <row r="1121" spans="2:8" x14ac:dyDescent="0.2">
      <c r="B1121" s="87" t="str">
        <v/>
      </c>
      <c r="G1121" s="87">
        <v>0</v>
      </c>
      <c r="H1121" s="87" t="str">
        <v/>
      </c>
    </row>
    <row r="1122" spans="2:8" x14ac:dyDescent="0.2">
      <c r="B1122" s="87" t="str">
        <v/>
      </c>
      <c r="G1122" s="87">
        <v>0</v>
      </c>
      <c r="H1122" s="87" t="str">
        <v/>
      </c>
    </row>
    <row r="1123" spans="2:8" x14ac:dyDescent="0.2">
      <c r="B1123" s="87" t="str">
        <v/>
      </c>
      <c r="G1123" s="87">
        <v>0</v>
      </c>
      <c r="H1123" s="87" t="str">
        <v/>
      </c>
    </row>
    <row r="1124" spans="2:8" x14ac:dyDescent="0.2">
      <c r="B1124" s="87" t="str">
        <v/>
      </c>
      <c r="G1124" s="87">
        <v>0</v>
      </c>
      <c r="H1124" s="87" t="str">
        <v/>
      </c>
    </row>
    <row r="1125" spans="2:8" x14ac:dyDescent="0.2">
      <c r="B1125" s="87" t="str">
        <v/>
      </c>
      <c r="G1125" s="87">
        <v>0</v>
      </c>
      <c r="H1125" s="87" t="str">
        <v/>
      </c>
    </row>
    <row r="1126" spans="2:8" x14ac:dyDescent="0.2">
      <c r="B1126" s="87" t="str">
        <v/>
      </c>
      <c r="G1126" s="87">
        <v>0</v>
      </c>
      <c r="H1126" s="87" t="str">
        <v/>
      </c>
    </row>
    <row r="1127" spans="2:8" x14ac:dyDescent="0.2">
      <c r="B1127" s="87" t="str">
        <v/>
      </c>
      <c r="G1127" s="87">
        <v>0</v>
      </c>
      <c r="H1127" s="87" t="str">
        <v/>
      </c>
    </row>
    <row r="1128" spans="2:8" x14ac:dyDescent="0.2">
      <c r="B1128" s="87" t="str">
        <v/>
      </c>
      <c r="G1128" s="87">
        <v>0</v>
      </c>
      <c r="H1128" s="87" t="str">
        <v/>
      </c>
    </row>
    <row r="1129" spans="2:8" x14ac:dyDescent="0.2">
      <c r="B1129" s="87" t="str">
        <v/>
      </c>
      <c r="G1129" s="87">
        <v>0</v>
      </c>
      <c r="H1129" s="87" t="str">
        <v/>
      </c>
    </row>
    <row r="1130" spans="2:8" x14ac:dyDescent="0.2">
      <c r="B1130" s="87" t="str">
        <v/>
      </c>
      <c r="G1130" s="87">
        <v>0</v>
      </c>
      <c r="H1130" s="87" t="str">
        <v/>
      </c>
    </row>
    <row r="1131" spans="2:8" x14ac:dyDescent="0.2">
      <c r="B1131" s="87" t="str">
        <v/>
      </c>
      <c r="G1131" s="87">
        <v>0</v>
      </c>
      <c r="H1131" s="87" t="str">
        <v/>
      </c>
    </row>
    <row r="1132" spans="2:8" x14ac:dyDescent="0.2">
      <c r="B1132" s="87" t="str">
        <v/>
      </c>
      <c r="G1132" s="87">
        <v>0</v>
      </c>
      <c r="H1132" s="87" t="str">
        <v/>
      </c>
    </row>
    <row r="1133" spans="2:8" x14ac:dyDescent="0.2">
      <c r="B1133" s="87" t="str">
        <v/>
      </c>
      <c r="G1133" s="87">
        <v>0</v>
      </c>
      <c r="H1133" s="87" t="str">
        <v/>
      </c>
    </row>
    <row r="1134" spans="2:8" x14ac:dyDescent="0.2">
      <c r="B1134" s="87" t="str">
        <v/>
      </c>
      <c r="G1134" s="87">
        <v>0</v>
      </c>
      <c r="H1134" s="87" t="str">
        <v/>
      </c>
    </row>
    <row r="1135" spans="2:8" x14ac:dyDescent="0.2">
      <c r="B1135" s="87" t="str">
        <v/>
      </c>
      <c r="G1135" s="87">
        <v>0</v>
      </c>
      <c r="H1135" s="87" t="str">
        <v/>
      </c>
    </row>
    <row r="1136" spans="2:8" x14ac:dyDescent="0.2">
      <c r="B1136" s="87" t="str">
        <v/>
      </c>
      <c r="G1136" s="87">
        <v>0</v>
      </c>
      <c r="H1136" s="87" t="str">
        <v/>
      </c>
    </row>
    <row r="1137" spans="2:8" x14ac:dyDescent="0.2">
      <c r="B1137" s="87" t="str">
        <v/>
      </c>
      <c r="G1137" s="87">
        <v>0</v>
      </c>
      <c r="H1137" s="87" t="str">
        <v/>
      </c>
    </row>
    <row r="1138" spans="2:8" x14ac:dyDescent="0.2">
      <c r="B1138" s="87" t="str">
        <v/>
      </c>
      <c r="G1138" s="87">
        <v>0</v>
      </c>
      <c r="H1138" s="87" t="str">
        <v/>
      </c>
    </row>
    <row r="1139" spans="2:8" x14ac:dyDescent="0.2">
      <c r="B1139" s="87" t="str">
        <v/>
      </c>
      <c r="G1139" s="87">
        <v>0</v>
      </c>
      <c r="H1139" s="87" t="str">
        <v/>
      </c>
    </row>
    <row r="1140" spans="2:8" x14ac:dyDescent="0.2">
      <c r="B1140" s="87" t="str">
        <v/>
      </c>
      <c r="G1140" s="87">
        <v>0</v>
      </c>
      <c r="H1140" s="87" t="str">
        <v/>
      </c>
    </row>
    <row r="1141" spans="2:8" x14ac:dyDescent="0.2">
      <c r="B1141" s="87" t="str">
        <v/>
      </c>
      <c r="G1141" s="87">
        <v>0</v>
      </c>
      <c r="H1141" s="87" t="str">
        <v/>
      </c>
    </row>
    <row r="1142" spans="2:8" x14ac:dyDescent="0.2">
      <c r="B1142" s="87" t="str">
        <v/>
      </c>
      <c r="G1142" s="87">
        <v>0</v>
      </c>
      <c r="H1142" s="87" t="str">
        <v/>
      </c>
    </row>
    <row r="1143" spans="2:8" x14ac:dyDescent="0.2">
      <c r="B1143" s="87" t="str">
        <v/>
      </c>
      <c r="G1143" s="87">
        <v>0</v>
      </c>
      <c r="H1143" s="87" t="str">
        <v/>
      </c>
    </row>
    <row r="1144" spans="2:8" x14ac:dyDescent="0.2">
      <c r="B1144" s="87" t="str">
        <v/>
      </c>
      <c r="G1144" s="87">
        <v>0</v>
      </c>
      <c r="H1144" s="87" t="str">
        <v/>
      </c>
    </row>
    <row r="1145" spans="2:8" x14ac:dyDescent="0.2">
      <c r="B1145" s="87" t="str">
        <v/>
      </c>
      <c r="G1145" s="87">
        <v>0</v>
      </c>
      <c r="H1145" s="87" t="str">
        <v/>
      </c>
    </row>
    <row r="1146" spans="2:8" x14ac:dyDescent="0.2">
      <c r="B1146" s="87" t="str">
        <v/>
      </c>
      <c r="G1146" s="87">
        <v>0</v>
      </c>
      <c r="H1146" s="87" t="str">
        <v/>
      </c>
    </row>
    <row r="1147" spans="2:8" x14ac:dyDescent="0.2">
      <c r="B1147" s="87" t="str">
        <v/>
      </c>
      <c r="G1147" s="87">
        <v>0</v>
      </c>
      <c r="H1147" s="87" t="str">
        <v/>
      </c>
    </row>
    <row r="1148" spans="2:8" x14ac:dyDescent="0.2">
      <c r="B1148" s="87" t="str">
        <v/>
      </c>
      <c r="G1148" s="87">
        <v>0</v>
      </c>
      <c r="H1148" s="87" t="str">
        <v/>
      </c>
    </row>
    <row r="1149" spans="2:8" x14ac:dyDescent="0.2">
      <c r="B1149" s="87" t="str">
        <v/>
      </c>
      <c r="G1149" s="87">
        <v>0</v>
      </c>
      <c r="H1149" s="87" t="str">
        <v/>
      </c>
    </row>
    <row r="1150" spans="2:8" x14ac:dyDescent="0.2">
      <c r="B1150" s="87" t="str">
        <v/>
      </c>
      <c r="G1150" s="87">
        <v>0</v>
      </c>
      <c r="H1150" s="87" t="str">
        <v/>
      </c>
    </row>
    <row r="1151" spans="2:8" x14ac:dyDescent="0.2">
      <c r="B1151" s="87" t="str">
        <v/>
      </c>
      <c r="G1151" s="87">
        <v>0</v>
      </c>
      <c r="H1151" s="87" t="str">
        <v/>
      </c>
    </row>
    <row r="1152" spans="2:8" x14ac:dyDescent="0.2">
      <c r="B1152" s="87" t="str">
        <v/>
      </c>
      <c r="G1152" s="87">
        <v>0</v>
      </c>
      <c r="H1152" s="87" t="str">
        <v/>
      </c>
    </row>
    <row r="1153" spans="2:8" x14ac:dyDescent="0.2">
      <c r="B1153" s="87" t="str">
        <v/>
      </c>
      <c r="G1153" s="87">
        <v>0</v>
      </c>
      <c r="H1153" s="87" t="str">
        <v/>
      </c>
    </row>
    <row r="1154" spans="2:8" x14ac:dyDescent="0.2">
      <c r="B1154" s="87" t="str">
        <v/>
      </c>
      <c r="G1154" s="87">
        <v>0</v>
      </c>
      <c r="H1154" s="87" t="str">
        <v/>
      </c>
    </row>
    <row r="1155" spans="2:8" x14ac:dyDescent="0.2">
      <c r="B1155" s="87" t="str">
        <v/>
      </c>
      <c r="G1155" s="87">
        <v>0</v>
      </c>
      <c r="H1155" s="87" t="str">
        <v/>
      </c>
    </row>
    <row r="1156" spans="2:8" x14ac:dyDescent="0.2">
      <c r="B1156" s="87" t="str">
        <v/>
      </c>
      <c r="G1156" s="87">
        <v>0</v>
      </c>
      <c r="H1156" s="87" t="str">
        <v/>
      </c>
    </row>
    <row r="1157" spans="2:8" x14ac:dyDescent="0.2">
      <c r="B1157" s="87" t="str">
        <v/>
      </c>
      <c r="G1157" s="87">
        <v>0</v>
      </c>
      <c r="H1157" s="87" t="str">
        <v/>
      </c>
    </row>
    <row r="1158" spans="2:8" x14ac:dyDescent="0.2">
      <c r="B1158" s="87" t="str">
        <v/>
      </c>
      <c r="G1158" s="87">
        <v>0</v>
      </c>
      <c r="H1158" s="87" t="str">
        <v/>
      </c>
    </row>
    <row r="1159" spans="2:8" x14ac:dyDescent="0.2">
      <c r="B1159" s="87" t="str">
        <v/>
      </c>
      <c r="G1159" s="87">
        <v>0</v>
      </c>
      <c r="H1159" s="87" t="str">
        <v/>
      </c>
    </row>
    <row r="1160" spans="2:8" x14ac:dyDescent="0.2">
      <c r="B1160" s="87" t="str">
        <v/>
      </c>
      <c r="G1160" s="87">
        <v>0</v>
      </c>
      <c r="H1160" s="87" t="str">
        <v/>
      </c>
    </row>
    <row r="1161" spans="2:8" x14ac:dyDescent="0.2">
      <c r="B1161" s="87" t="str">
        <v/>
      </c>
      <c r="G1161" s="87">
        <v>0</v>
      </c>
      <c r="H1161" s="87" t="str">
        <v/>
      </c>
    </row>
    <row r="1162" spans="2:8" x14ac:dyDescent="0.2">
      <c r="B1162" s="87" t="str">
        <v/>
      </c>
      <c r="G1162" s="87">
        <v>0</v>
      </c>
      <c r="H1162" s="87" t="str">
        <v/>
      </c>
    </row>
    <row r="1163" spans="2:8" x14ac:dyDescent="0.2">
      <c r="B1163" s="87" t="str">
        <v/>
      </c>
      <c r="G1163" s="87">
        <v>0</v>
      </c>
      <c r="H1163" s="87" t="str">
        <v/>
      </c>
    </row>
    <row r="1164" spans="2:8" x14ac:dyDescent="0.2">
      <c r="B1164" s="87" t="str">
        <v/>
      </c>
      <c r="G1164" s="87">
        <v>0</v>
      </c>
      <c r="H1164" s="87" t="str">
        <v/>
      </c>
    </row>
    <row r="1165" spans="2:8" x14ac:dyDescent="0.2">
      <c r="B1165" s="87" t="str">
        <v/>
      </c>
      <c r="G1165" s="87">
        <v>0</v>
      </c>
      <c r="H1165" s="87" t="str">
        <v/>
      </c>
    </row>
    <row r="1166" spans="2:8" x14ac:dyDescent="0.2">
      <c r="B1166" s="87" t="str">
        <v/>
      </c>
      <c r="G1166" s="87">
        <v>0</v>
      </c>
      <c r="H1166" s="87" t="str">
        <v/>
      </c>
    </row>
    <row r="1167" spans="2:8" x14ac:dyDescent="0.2">
      <c r="B1167" s="87" t="str">
        <v/>
      </c>
      <c r="G1167" s="87">
        <v>0</v>
      </c>
      <c r="H1167" s="87" t="str">
        <v/>
      </c>
    </row>
    <row r="1168" spans="2:8" x14ac:dyDescent="0.2">
      <c r="B1168" s="87" t="str">
        <v/>
      </c>
      <c r="G1168" s="87">
        <v>0</v>
      </c>
      <c r="H1168" s="87" t="str">
        <v/>
      </c>
    </row>
    <row r="1169" spans="2:8" x14ac:dyDescent="0.2">
      <c r="B1169" s="87" t="str">
        <v/>
      </c>
      <c r="G1169" s="87">
        <v>0</v>
      </c>
      <c r="H1169" s="87" t="str">
        <v/>
      </c>
    </row>
    <row r="1170" spans="2:8" x14ac:dyDescent="0.2">
      <c r="B1170" s="87" t="str">
        <v/>
      </c>
      <c r="G1170" s="87">
        <v>0</v>
      </c>
      <c r="H1170" s="87" t="str">
        <v/>
      </c>
    </row>
    <row r="1171" spans="2:8" x14ac:dyDescent="0.2">
      <c r="B1171" s="87" t="str">
        <v/>
      </c>
      <c r="G1171" s="87">
        <v>0</v>
      </c>
      <c r="H1171" s="87" t="str">
        <v/>
      </c>
    </row>
    <row r="1172" spans="2:8" x14ac:dyDescent="0.2">
      <c r="B1172" s="87" t="str">
        <v/>
      </c>
      <c r="G1172" s="87">
        <v>0</v>
      </c>
      <c r="H1172" s="87" t="str">
        <v/>
      </c>
    </row>
    <row r="1173" spans="2:8" x14ac:dyDescent="0.2">
      <c r="B1173" s="87" t="str">
        <v/>
      </c>
      <c r="G1173" s="87">
        <v>0</v>
      </c>
      <c r="H1173" s="87" t="str">
        <v/>
      </c>
    </row>
    <row r="1174" spans="2:8" x14ac:dyDescent="0.2">
      <c r="B1174" s="87" t="str">
        <v/>
      </c>
      <c r="G1174" s="87">
        <v>0</v>
      </c>
      <c r="H1174" s="87" t="str">
        <v/>
      </c>
    </row>
    <row r="1175" spans="2:8" x14ac:dyDescent="0.2">
      <c r="B1175" s="87" t="str">
        <v/>
      </c>
      <c r="G1175" s="87">
        <v>0</v>
      </c>
      <c r="H1175" s="87" t="str">
        <v/>
      </c>
    </row>
    <row r="1176" spans="2:8" x14ac:dyDescent="0.2">
      <c r="B1176" s="87" t="str">
        <v/>
      </c>
      <c r="G1176" s="87">
        <v>0</v>
      </c>
      <c r="H1176" s="87" t="str">
        <v/>
      </c>
    </row>
    <row r="1177" spans="2:8" x14ac:dyDescent="0.2">
      <c r="B1177" s="87" t="str">
        <v/>
      </c>
      <c r="G1177" s="87">
        <v>0</v>
      </c>
      <c r="H1177" s="87" t="str">
        <v/>
      </c>
    </row>
    <row r="1178" spans="2:8" x14ac:dyDescent="0.2">
      <c r="B1178" s="87" t="str">
        <v/>
      </c>
      <c r="G1178" s="87">
        <v>0</v>
      </c>
      <c r="H1178" s="87" t="str">
        <v/>
      </c>
    </row>
    <row r="1179" spans="2:8" x14ac:dyDescent="0.2">
      <c r="B1179" s="87" t="str">
        <v/>
      </c>
      <c r="G1179" s="87">
        <v>0</v>
      </c>
      <c r="H1179" s="87" t="str">
        <v/>
      </c>
    </row>
    <row r="1180" spans="2:8" x14ac:dyDescent="0.2">
      <c r="B1180" s="87" t="str">
        <v/>
      </c>
      <c r="G1180" s="87">
        <v>0</v>
      </c>
      <c r="H1180" s="87" t="str">
        <v/>
      </c>
    </row>
    <row r="1181" spans="2:8" x14ac:dyDescent="0.2">
      <c r="B1181" s="87" t="str">
        <v/>
      </c>
      <c r="G1181" s="87">
        <v>0</v>
      </c>
      <c r="H1181" s="87" t="str">
        <v/>
      </c>
    </row>
    <row r="1182" spans="2:8" x14ac:dyDescent="0.2">
      <c r="B1182" s="87" t="str">
        <v/>
      </c>
      <c r="G1182" s="87">
        <v>0</v>
      </c>
      <c r="H1182" s="87" t="str">
        <v/>
      </c>
    </row>
    <row r="1183" spans="2:8" x14ac:dyDescent="0.2">
      <c r="B1183" s="87" t="str">
        <v/>
      </c>
      <c r="G1183" s="87">
        <v>0</v>
      </c>
      <c r="H1183" s="87" t="str">
        <v/>
      </c>
    </row>
    <row r="1184" spans="2:8" x14ac:dyDescent="0.2">
      <c r="B1184" s="87" t="str">
        <v/>
      </c>
      <c r="G1184" s="87">
        <v>0</v>
      </c>
      <c r="H1184" s="87" t="str">
        <v/>
      </c>
    </row>
    <row r="1185" spans="2:8" x14ac:dyDescent="0.2">
      <c r="B1185" s="87" t="str">
        <v/>
      </c>
      <c r="G1185" s="87">
        <v>0</v>
      </c>
      <c r="H1185" s="87" t="str">
        <v/>
      </c>
    </row>
    <row r="1186" spans="2:8" x14ac:dyDescent="0.2">
      <c r="B1186" s="87" t="str">
        <v/>
      </c>
      <c r="G1186" s="87">
        <v>0</v>
      </c>
      <c r="H1186" s="87" t="str">
        <v/>
      </c>
    </row>
    <row r="1187" spans="2:8" x14ac:dyDescent="0.2">
      <c r="B1187" s="87" t="str">
        <v/>
      </c>
      <c r="G1187" s="87">
        <v>0</v>
      </c>
      <c r="H1187" s="87" t="str">
        <v/>
      </c>
    </row>
    <row r="1188" spans="2:8" x14ac:dyDescent="0.2">
      <c r="B1188" s="87" t="str">
        <v/>
      </c>
      <c r="G1188" s="87">
        <v>0</v>
      </c>
      <c r="H1188" s="87" t="str">
        <v/>
      </c>
    </row>
    <row r="1189" spans="2:8" x14ac:dyDescent="0.2">
      <c r="B1189" s="87" t="str">
        <v/>
      </c>
      <c r="G1189" s="87">
        <v>0</v>
      </c>
      <c r="H1189" s="87" t="str">
        <v/>
      </c>
    </row>
    <row r="1190" spans="2:8" x14ac:dyDescent="0.2">
      <c r="B1190" s="87" t="str">
        <v/>
      </c>
      <c r="G1190" s="87">
        <v>0</v>
      </c>
      <c r="H1190" s="87" t="str">
        <v/>
      </c>
    </row>
    <row r="1191" spans="2:8" x14ac:dyDescent="0.2">
      <c r="B1191" s="87" t="str">
        <v/>
      </c>
      <c r="G1191" s="87">
        <v>0</v>
      </c>
      <c r="H1191" s="87" t="str">
        <v/>
      </c>
    </row>
    <row r="1192" spans="2:8" x14ac:dyDescent="0.2">
      <c r="B1192" s="87" t="str">
        <v/>
      </c>
      <c r="G1192" s="87">
        <v>0</v>
      </c>
      <c r="H1192" s="87" t="str">
        <v/>
      </c>
    </row>
    <row r="1193" spans="2:8" x14ac:dyDescent="0.2">
      <c r="B1193" s="87" t="str">
        <v/>
      </c>
      <c r="G1193" s="87">
        <v>0</v>
      </c>
      <c r="H1193" s="87" t="str">
        <v/>
      </c>
    </row>
    <row r="1194" spans="2:8" x14ac:dyDescent="0.2">
      <c r="B1194" s="87" t="str">
        <v/>
      </c>
      <c r="G1194" s="87">
        <v>0</v>
      </c>
      <c r="H1194" s="87" t="str">
        <v/>
      </c>
    </row>
    <row r="1195" spans="2:8" x14ac:dyDescent="0.2">
      <c r="B1195" s="87" t="str">
        <v/>
      </c>
      <c r="G1195" s="87">
        <v>0</v>
      </c>
      <c r="H1195" s="87" t="str">
        <v/>
      </c>
    </row>
    <row r="1196" spans="2:8" x14ac:dyDescent="0.2">
      <c r="B1196" s="87" t="str">
        <v/>
      </c>
      <c r="G1196" s="87">
        <v>0</v>
      </c>
      <c r="H1196" s="87" t="str">
        <v/>
      </c>
    </row>
    <row r="1197" spans="2:8" x14ac:dyDescent="0.2">
      <c r="B1197" s="87" t="str">
        <v/>
      </c>
      <c r="G1197" s="87">
        <v>0</v>
      </c>
      <c r="H1197" s="87" t="str">
        <v/>
      </c>
    </row>
    <row r="1198" spans="2:8" x14ac:dyDescent="0.2">
      <c r="B1198" s="87" t="str">
        <v/>
      </c>
      <c r="G1198" s="87">
        <v>0</v>
      </c>
      <c r="H1198" s="87" t="str">
        <v/>
      </c>
    </row>
    <row r="1199" spans="2:8" x14ac:dyDescent="0.2">
      <c r="B1199" s="87" t="str">
        <v/>
      </c>
      <c r="G1199" s="87">
        <v>0</v>
      </c>
      <c r="H1199" s="87" t="str">
        <v/>
      </c>
    </row>
    <row r="1200" spans="2:8" x14ac:dyDescent="0.2">
      <c r="B1200" s="87" t="str">
        <v/>
      </c>
      <c r="G1200" s="87">
        <v>0</v>
      </c>
      <c r="H1200" s="87" t="str">
        <v/>
      </c>
    </row>
    <row r="1201" spans="2:8" x14ac:dyDescent="0.2">
      <c r="B1201" s="87" t="str">
        <v/>
      </c>
      <c r="G1201" s="87">
        <v>0</v>
      </c>
      <c r="H1201" s="87" t="str">
        <v/>
      </c>
    </row>
    <row r="1202" spans="2:8" x14ac:dyDescent="0.2">
      <c r="B1202" s="87" t="str">
        <v/>
      </c>
      <c r="G1202" s="87">
        <v>0</v>
      </c>
      <c r="H1202" s="87" t="str">
        <v/>
      </c>
    </row>
    <row r="1203" spans="2:8" x14ac:dyDescent="0.2">
      <c r="B1203" s="87" t="str">
        <v/>
      </c>
      <c r="G1203" s="87">
        <v>0</v>
      </c>
      <c r="H1203" s="87" t="str">
        <v/>
      </c>
    </row>
    <row r="1204" spans="2:8" x14ac:dyDescent="0.2">
      <c r="B1204" s="87" t="str">
        <v/>
      </c>
      <c r="G1204" s="87">
        <v>0</v>
      </c>
      <c r="H1204" s="87" t="str">
        <v/>
      </c>
    </row>
    <row r="1205" spans="2:8" x14ac:dyDescent="0.2">
      <c r="B1205" s="87" t="str">
        <v/>
      </c>
      <c r="G1205" s="87">
        <v>0</v>
      </c>
      <c r="H1205" s="87" t="str">
        <v/>
      </c>
    </row>
    <row r="1206" spans="2:8" x14ac:dyDescent="0.2">
      <c r="B1206" s="87" t="str">
        <v/>
      </c>
      <c r="G1206" s="87">
        <v>0</v>
      </c>
      <c r="H1206" s="87" t="str">
        <v/>
      </c>
    </row>
    <row r="1207" spans="2:8" x14ac:dyDescent="0.2">
      <c r="B1207" s="87" t="str">
        <v/>
      </c>
      <c r="G1207" s="87">
        <v>0</v>
      </c>
      <c r="H1207" s="87" t="str">
        <v/>
      </c>
    </row>
    <row r="1208" spans="2:8" x14ac:dyDescent="0.2">
      <c r="B1208" s="87" t="str">
        <v/>
      </c>
      <c r="G1208" s="87">
        <v>0</v>
      </c>
      <c r="H1208" s="87" t="str">
        <v/>
      </c>
    </row>
    <row r="1209" spans="2:8" x14ac:dyDescent="0.2">
      <c r="B1209" s="87" t="str">
        <v/>
      </c>
      <c r="G1209" s="87">
        <v>0</v>
      </c>
      <c r="H1209" s="87" t="str">
        <v/>
      </c>
    </row>
    <row r="1210" spans="2:8" x14ac:dyDescent="0.2">
      <c r="B1210" s="87" t="str">
        <v/>
      </c>
      <c r="G1210" s="87">
        <v>0</v>
      </c>
      <c r="H1210" s="87" t="str">
        <v/>
      </c>
    </row>
    <row r="1211" spans="2:8" x14ac:dyDescent="0.2">
      <c r="B1211" s="87" t="str">
        <v/>
      </c>
      <c r="G1211" s="87">
        <v>0</v>
      </c>
      <c r="H1211" s="87" t="str">
        <v/>
      </c>
    </row>
    <row r="1212" spans="2:8" x14ac:dyDescent="0.2">
      <c r="B1212" s="87" t="str">
        <v/>
      </c>
      <c r="G1212" s="87">
        <v>0</v>
      </c>
      <c r="H1212" s="87" t="str">
        <v/>
      </c>
    </row>
    <row r="1213" spans="2:8" x14ac:dyDescent="0.2">
      <c r="B1213" s="87" t="str">
        <v/>
      </c>
      <c r="G1213" s="87">
        <v>0</v>
      </c>
      <c r="H1213" s="87" t="str">
        <v/>
      </c>
    </row>
    <row r="1214" spans="2:8" x14ac:dyDescent="0.2">
      <c r="B1214" s="87" t="str">
        <v/>
      </c>
      <c r="G1214" s="87">
        <v>0</v>
      </c>
      <c r="H1214" s="87" t="str">
        <v/>
      </c>
    </row>
    <row r="1215" spans="2:8" x14ac:dyDescent="0.2">
      <c r="B1215" s="87" t="str">
        <v/>
      </c>
      <c r="G1215" s="87">
        <v>0</v>
      </c>
      <c r="H1215" s="87" t="str">
        <v/>
      </c>
    </row>
    <row r="1216" spans="2:8" x14ac:dyDescent="0.2">
      <c r="B1216" s="87" t="str">
        <v/>
      </c>
      <c r="G1216" s="87">
        <v>0</v>
      </c>
      <c r="H1216" s="87" t="str">
        <v/>
      </c>
    </row>
    <row r="1217" spans="2:8" x14ac:dyDescent="0.2">
      <c r="B1217" s="87" t="str">
        <v/>
      </c>
      <c r="G1217" s="87">
        <v>0</v>
      </c>
      <c r="H1217" s="87" t="str">
        <v/>
      </c>
    </row>
    <row r="1218" spans="2:8" x14ac:dyDescent="0.2">
      <c r="B1218" s="87" t="str">
        <v/>
      </c>
      <c r="G1218" s="87">
        <v>0</v>
      </c>
      <c r="H1218" s="87" t="str">
        <v/>
      </c>
    </row>
    <row r="1219" spans="2:8" x14ac:dyDescent="0.2">
      <c r="B1219" s="87" t="str">
        <v/>
      </c>
      <c r="G1219" s="87">
        <v>0</v>
      </c>
      <c r="H1219" s="87" t="str">
        <v/>
      </c>
    </row>
    <row r="1220" spans="2:8" x14ac:dyDescent="0.2">
      <c r="B1220" s="87" t="str">
        <v/>
      </c>
      <c r="G1220" s="87">
        <v>0</v>
      </c>
      <c r="H1220" s="87" t="str">
        <v/>
      </c>
    </row>
    <row r="1221" spans="2:8" x14ac:dyDescent="0.2">
      <c r="B1221" s="87" t="str">
        <v/>
      </c>
      <c r="G1221" s="87">
        <v>0</v>
      </c>
      <c r="H1221" s="87" t="str">
        <v/>
      </c>
    </row>
    <row r="1222" spans="2:8" x14ac:dyDescent="0.2">
      <c r="B1222" s="87" t="str">
        <v/>
      </c>
      <c r="G1222" s="87">
        <v>0</v>
      </c>
      <c r="H1222" s="87" t="str">
        <v/>
      </c>
    </row>
    <row r="1223" spans="2:8" x14ac:dyDescent="0.2">
      <c r="B1223" s="87" t="str">
        <v/>
      </c>
      <c r="G1223" s="87">
        <v>0</v>
      </c>
      <c r="H1223" s="87" t="str">
        <v/>
      </c>
    </row>
    <row r="1224" spans="2:8" x14ac:dyDescent="0.2">
      <c r="B1224" s="87" t="str">
        <v/>
      </c>
      <c r="G1224" s="87">
        <v>0</v>
      </c>
      <c r="H1224" s="87" t="str">
        <v/>
      </c>
    </row>
    <row r="1225" spans="2:8" x14ac:dyDescent="0.2">
      <c r="B1225" s="87" t="str">
        <v/>
      </c>
      <c r="G1225" s="87">
        <v>0</v>
      </c>
      <c r="H1225" s="87" t="str">
        <v/>
      </c>
    </row>
    <row r="1226" spans="2:8" x14ac:dyDescent="0.2">
      <c r="B1226" s="87" t="str">
        <v/>
      </c>
      <c r="G1226" s="87">
        <v>0</v>
      </c>
      <c r="H1226" s="87" t="str">
        <v/>
      </c>
    </row>
    <row r="1227" spans="2:8" x14ac:dyDescent="0.2">
      <c r="B1227" s="87" t="str">
        <v/>
      </c>
      <c r="G1227" s="87">
        <v>0</v>
      </c>
      <c r="H1227" s="87" t="str">
        <v/>
      </c>
    </row>
    <row r="1228" spans="2:8" x14ac:dyDescent="0.2">
      <c r="B1228" s="87" t="str">
        <v/>
      </c>
      <c r="G1228" s="87">
        <v>0</v>
      </c>
      <c r="H1228" s="87" t="str">
        <v/>
      </c>
    </row>
    <row r="1229" spans="2:8" x14ac:dyDescent="0.2">
      <c r="B1229" s="87" t="str">
        <v/>
      </c>
      <c r="G1229" s="87">
        <v>0</v>
      </c>
      <c r="H1229" s="87" t="str">
        <v/>
      </c>
    </row>
    <row r="1230" spans="2:8" x14ac:dyDescent="0.2">
      <c r="B1230" s="87" t="str">
        <v/>
      </c>
      <c r="G1230" s="87">
        <v>0</v>
      </c>
      <c r="H1230" s="87" t="str">
        <v/>
      </c>
    </row>
    <row r="1231" spans="2:8" x14ac:dyDescent="0.2">
      <c r="B1231" s="87" t="str">
        <v/>
      </c>
      <c r="G1231" s="87">
        <v>0</v>
      </c>
      <c r="H1231" s="87" t="str">
        <v/>
      </c>
    </row>
    <row r="1232" spans="2:8" x14ac:dyDescent="0.2">
      <c r="B1232" s="87" t="str">
        <v/>
      </c>
      <c r="G1232" s="87">
        <v>0</v>
      </c>
      <c r="H1232" s="87" t="str">
        <v/>
      </c>
    </row>
    <row r="1233" spans="2:8" x14ac:dyDescent="0.2">
      <c r="B1233" s="87" t="str">
        <v/>
      </c>
      <c r="G1233" s="87">
        <v>0</v>
      </c>
      <c r="H1233" s="87" t="str">
        <v/>
      </c>
    </row>
    <row r="1234" spans="2:8" x14ac:dyDescent="0.2">
      <c r="B1234" s="87" t="str">
        <v/>
      </c>
      <c r="G1234" s="87">
        <v>0</v>
      </c>
      <c r="H1234" s="87" t="str">
        <v/>
      </c>
    </row>
    <row r="1235" spans="2:8" x14ac:dyDescent="0.2">
      <c r="B1235" s="87" t="str">
        <v/>
      </c>
      <c r="G1235" s="87">
        <v>0</v>
      </c>
      <c r="H1235" s="87" t="str">
        <v/>
      </c>
    </row>
    <row r="1236" spans="2:8" x14ac:dyDescent="0.2">
      <c r="B1236" s="87" t="str">
        <v/>
      </c>
      <c r="G1236" s="87">
        <v>0</v>
      </c>
      <c r="H1236" s="87" t="str">
        <v/>
      </c>
    </row>
    <row r="1237" spans="2:8" x14ac:dyDescent="0.2">
      <c r="B1237" s="87" t="str">
        <v/>
      </c>
      <c r="G1237" s="87">
        <v>0</v>
      </c>
      <c r="H1237" s="87" t="str">
        <v/>
      </c>
    </row>
    <row r="1238" spans="2:8" x14ac:dyDescent="0.2">
      <c r="B1238" s="87" t="str">
        <v/>
      </c>
      <c r="G1238" s="87">
        <v>0</v>
      </c>
      <c r="H1238" s="87" t="str">
        <v/>
      </c>
    </row>
    <row r="1239" spans="2:8" x14ac:dyDescent="0.2">
      <c r="B1239" s="87" t="str">
        <v/>
      </c>
      <c r="G1239" s="87">
        <v>0</v>
      </c>
      <c r="H1239" s="87" t="str">
        <v/>
      </c>
    </row>
    <row r="1240" spans="2:8" x14ac:dyDescent="0.2">
      <c r="B1240" s="87" t="str">
        <v/>
      </c>
      <c r="G1240" s="87">
        <v>0</v>
      </c>
      <c r="H1240" s="87" t="str">
        <v/>
      </c>
    </row>
    <row r="1241" spans="2:8" x14ac:dyDescent="0.2">
      <c r="B1241" s="87" t="str">
        <v/>
      </c>
      <c r="G1241" s="87">
        <v>0</v>
      </c>
      <c r="H1241" s="87" t="str">
        <v/>
      </c>
    </row>
    <row r="1242" spans="2:8" x14ac:dyDescent="0.2">
      <c r="B1242" s="87" t="str">
        <v/>
      </c>
      <c r="G1242" s="87">
        <v>0</v>
      </c>
      <c r="H1242" s="87" t="str">
        <v/>
      </c>
    </row>
    <row r="1243" spans="2:8" x14ac:dyDescent="0.2">
      <c r="B1243" s="87" t="str">
        <v/>
      </c>
      <c r="G1243" s="87">
        <v>0</v>
      </c>
      <c r="H1243" s="87" t="str">
        <v/>
      </c>
    </row>
    <row r="1244" spans="2:8" x14ac:dyDescent="0.2">
      <c r="B1244" s="87" t="str">
        <v/>
      </c>
      <c r="G1244" s="87">
        <v>0</v>
      </c>
      <c r="H1244" s="87" t="str">
        <v/>
      </c>
    </row>
    <row r="1245" spans="2:8" x14ac:dyDescent="0.2">
      <c r="B1245" s="87" t="str">
        <v/>
      </c>
      <c r="G1245" s="87">
        <v>0</v>
      </c>
      <c r="H1245" s="87" t="str">
        <v/>
      </c>
    </row>
    <row r="1246" spans="2:8" x14ac:dyDescent="0.2">
      <c r="B1246" s="87" t="str">
        <v/>
      </c>
      <c r="G1246" s="87">
        <v>0</v>
      </c>
      <c r="H1246" s="87" t="str">
        <v/>
      </c>
    </row>
    <row r="1247" spans="2:8" x14ac:dyDescent="0.2">
      <c r="B1247" s="87" t="str">
        <v/>
      </c>
      <c r="G1247" s="87">
        <v>0</v>
      </c>
      <c r="H1247" s="87" t="str">
        <v/>
      </c>
    </row>
    <row r="1248" spans="2:8" x14ac:dyDescent="0.2">
      <c r="B1248" s="87" t="str">
        <v/>
      </c>
      <c r="G1248" s="87">
        <v>0</v>
      </c>
      <c r="H1248" s="87" t="str">
        <v/>
      </c>
    </row>
    <row r="1249" spans="2:8" x14ac:dyDescent="0.2">
      <c r="B1249" s="87" t="str">
        <v/>
      </c>
      <c r="G1249" s="87">
        <v>0</v>
      </c>
      <c r="H1249" s="87" t="str">
        <v/>
      </c>
    </row>
    <row r="1250" spans="2:8" x14ac:dyDescent="0.2">
      <c r="B1250" s="87" t="str">
        <v/>
      </c>
      <c r="G1250" s="87">
        <v>0</v>
      </c>
      <c r="H1250" s="87" t="str">
        <v/>
      </c>
    </row>
    <row r="1251" spans="2:8" x14ac:dyDescent="0.2">
      <c r="B1251" s="87" t="str">
        <v/>
      </c>
      <c r="G1251" s="87">
        <v>0</v>
      </c>
      <c r="H1251" s="87" t="str">
        <v/>
      </c>
    </row>
    <row r="1252" spans="2:8" x14ac:dyDescent="0.2">
      <c r="B1252" s="87" t="str">
        <v/>
      </c>
      <c r="G1252" s="87">
        <v>0</v>
      </c>
      <c r="H1252" s="87" t="str">
        <v/>
      </c>
    </row>
    <row r="1253" spans="2:8" x14ac:dyDescent="0.2">
      <c r="B1253" s="87" t="str">
        <v/>
      </c>
      <c r="G1253" s="87">
        <v>0</v>
      </c>
      <c r="H1253" s="87" t="str">
        <v/>
      </c>
    </row>
    <row r="1254" spans="2:8" x14ac:dyDescent="0.2">
      <c r="B1254" s="87" t="str">
        <v/>
      </c>
      <c r="G1254" s="87">
        <v>0</v>
      </c>
      <c r="H1254" s="87" t="str">
        <v/>
      </c>
    </row>
    <row r="1255" spans="2:8" x14ac:dyDescent="0.2">
      <c r="B1255" s="87" t="str">
        <v/>
      </c>
      <c r="G1255" s="87">
        <v>0</v>
      </c>
      <c r="H1255" s="87" t="str">
        <v/>
      </c>
    </row>
    <row r="1256" spans="2:8" x14ac:dyDescent="0.2">
      <c r="B1256" s="87" t="str">
        <v/>
      </c>
      <c r="G1256" s="87">
        <v>0</v>
      </c>
      <c r="H1256" s="87" t="str">
        <v/>
      </c>
    </row>
    <row r="1257" spans="2:8" x14ac:dyDescent="0.2">
      <c r="B1257" s="87" t="str">
        <v/>
      </c>
      <c r="G1257" s="87">
        <v>0</v>
      </c>
      <c r="H1257" s="87" t="str">
        <v/>
      </c>
    </row>
    <row r="1258" spans="2:8" x14ac:dyDescent="0.2">
      <c r="B1258" s="87" t="str">
        <v/>
      </c>
      <c r="G1258" s="87">
        <v>0</v>
      </c>
      <c r="H1258" s="87" t="str">
        <v/>
      </c>
    </row>
    <row r="1259" spans="2:8" x14ac:dyDescent="0.2">
      <c r="B1259" s="87" t="str">
        <v/>
      </c>
      <c r="G1259" s="87">
        <v>0</v>
      </c>
      <c r="H1259" s="87" t="str">
        <v/>
      </c>
    </row>
    <row r="1260" spans="2:8" x14ac:dyDescent="0.2">
      <c r="B1260" s="87" t="str">
        <v/>
      </c>
      <c r="G1260" s="87">
        <v>0</v>
      </c>
      <c r="H1260" s="87" t="str">
        <v/>
      </c>
    </row>
    <row r="1261" spans="2:8" x14ac:dyDescent="0.2">
      <c r="B1261" s="87" t="str">
        <v/>
      </c>
      <c r="G1261" s="87">
        <v>0</v>
      </c>
      <c r="H1261" s="87" t="str">
        <v/>
      </c>
    </row>
    <row r="1262" spans="2:8" x14ac:dyDescent="0.2">
      <c r="B1262" s="87" t="str">
        <v/>
      </c>
      <c r="G1262" s="87">
        <v>0</v>
      </c>
      <c r="H1262" s="87" t="str">
        <v/>
      </c>
    </row>
    <row r="1263" spans="2:8" x14ac:dyDescent="0.2">
      <c r="B1263" s="87" t="str">
        <v/>
      </c>
      <c r="G1263" s="87">
        <v>0</v>
      </c>
      <c r="H1263" s="87" t="str">
        <v/>
      </c>
    </row>
    <row r="1264" spans="2:8" x14ac:dyDescent="0.2">
      <c r="B1264" s="87" t="str">
        <v/>
      </c>
      <c r="G1264" s="87">
        <v>0</v>
      </c>
      <c r="H1264" s="87" t="str">
        <v/>
      </c>
    </row>
    <row r="1265" spans="2:8" x14ac:dyDescent="0.2">
      <c r="B1265" s="87" t="str">
        <v/>
      </c>
      <c r="G1265" s="87">
        <v>0</v>
      </c>
      <c r="H1265" s="87" t="str">
        <v/>
      </c>
    </row>
    <row r="1266" spans="2:8" x14ac:dyDescent="0.2">
      <c r="B1266" s="87" t="str">
        <v/>
      </c>
      <c r="G1266" s="87">
        <v>0</v>
      </c>
      <c r="H1266" s="87" t="str">
        <v/>
      </c>
    </row>
    <row r="1267" spans="2:8" x14ac:dyDescent="0.2">
      <c r="B1267" s="87" t="str">
        <v/>
      </c>
      <c r="G1267" s="87">
        <v>0</v>
      </c>
      <c r="H1267" s="87" t="str">
        <v/>
      </c>
    </row>
    <row r="1268" spans="2:8" x14ac:dyDescent="0.2">
      <c r="B1268" s="87" t="str">
        <v/>
      </c>
      <c r="G1268" s="87">
        <v>0</v>
      </c>
      <c r="H1268" s="87" t="str">
        <v/>
      </c>
    </row>
    <row r="1269" spans="2:8" x14ac:dyDescent="0.2">
      <c r="B1269" s="87" t="str">
        <v/>
      </c>
      <c r="G1269" s="87">
        <v>0</v>
      </c>
      <c r="H1269" s="87" t="str">
        <v/>
      </c>
    </row>
    <row r="1270" spans="2:8" x14ac:dyDescent="0.2">
      <c r="B1270" s="87" t="str">
        <v/>
      </c>
      <c r="G1270" s="87">
        <v>0</v>
      </c>
      <c r="H1270" s="87" t="str">
        <v/>
      </c>
    </row>
    <row r="1271" spans="2:8" x14ac:dyDescent="0.2">
      <c r="B1271" s="87" t="str">
        <v/>
      </c>
      <c r="G1271" s="87">
        <v>0</v>
      </c>
      <c r="H1271" s="87" t="str">
        <v/>
      </c>
    </row>
    <row r="1272" spans="2:8" x14ac:dyDescent="0.2">
      <c r="B1272" s="87" t="str">
        <v/>
      </c>
      <c r="G1272" s="87">
        <v>0</v>
      </c>
      <c r="H1272" s="87" t="str">
        <v/>
      </c>
    </row>
    <row r="1273" spans="2:8" x14ac:dyDescent="0.2">
      <c r="B1273" s="87" t="str">
        <v/>
      </c>
      <c r="G1273" s="87">
        <v>0</v>
      </c>
      <c r="H1273" s="87" t="str">
        <v/>
      </c>
    </row>
    <row r="1274" spans="2:8" x14ac:dyDescent="0.2">
      <c r="B1274" s="87" t="str">
        <v/>
      </c>
      <c r="G1274" s="87">
        <v>0</v>
      </c>
      <c r="H1274" s="87" t="str">
        <v/>
      </c>
    </row>
    <row r="1275" spans="2:8" x14ac:dyDescent="0.2">
      <c r="B1275" s="87" t="str">
        <v/>
      </c>
      <c r="G1275" s="87">
        <v>0</v>
      </c>
      <c r="H1275" s="87" t="str">
        <v/>
      </c>
    </row>
    <row r="1276" spans="2:8" x14ac:dyDescent="0.2">
      <c r="B1276" s="87" t="str">
        <v/>
      </c>
      <c r="G1276" s="87">
        <v>0</v>
      </c>
      <c r="H1276" s="87" t="str">
        <v/>
      </c>
    </row>
    <row r="1277" spans="2:8" x14ac:dyDescent="0.2">
      <c r="B1277" s="87" t="str">
        <v/>
      </c>
      <c r="G1277" s="87">
        <v>0</v>
      </c>
      <c r="H1277" s="87" t="str">
        <v/>
      </c>
    </row>
    <row r="1278" spans="2:8" x14ac:dyDescent="0.2">
      <c r="B1278" s="87" t="str">
        <v/>
      </c>
      <c r="G1278" s="87">
        <v>0</v>
      </c>
      <c r="H1278" s="87" t="str">
        <v/>
      </c>
    </row>
    <row r="1279" spans="2:8" x14ac:dyDescent="0.2">
      <c r="B1279" s="87" t="str">
        <v/>
      </c>
      <c r="G1279" s="87">
        <v>0</v>
      </c>
      <c r="H1279" s="87" t="str">
        <v/>
      </c>
    </row>
    <row r="1280" spans="2:8" x14ac:dyDescent="0.2">
      <c r="B1280" s="87" t="str">
        <v/>
      </c>
      <c r="G1280" s="87">
        <v>0</v>
      </c>
      <c r="H1280" s="87" t="str">
        <v/>
      </c>
    </row>
    <row r="1281" spans="2:8" x14ac:dyDescent="0.2">
      <c r="B1281" s="87" t="str">
        <v/>
      </c>
      <c r="G1281" s="87">
        <v>0</v>
      </c>
      <c r="H1281" s="87" t="str">
        <v/>
      </c>
    </row>
    <row r="1282" spans="2:8" x14ac:dyDescent="0.2">
      <c r="B1282" s="87" t="str">
        <v/>
      </c>
      <c r="G1282" s="87">
        <v>0</v>
      </c>
      <c r="H1282" s="87" t="str">
        <v/>
      </c>
    </row>
    <row r="1283" spans="2:8" x14ac:dyDescent="0.2">
      <c r="B1283" s="87" t="str">
        <v/>
      </c>
      <c r="G1283" s="87">
        <v>0</v>
      </c>
      <c r="H1283" s="87" t="str">
        <v/>
      </c>
    </row>
    <row r="1284" spans="2:8" x14ac:dyDescent="0.2">
      <c r="B1284" s="87" t="str">
        <v/>
      </c>
      <c r="G1284" s="87">
        <v>0</v>
      </c>
      <c r="H1284" s="87" t="str">
        <v/>
      </c>
    </row>
    <row r="1285" spans="2:8" x14ac:dyDescent="0.2">
      <c r="B1285" s="87" t="str">
        <v/>
      </c>
      <c r="G1285" s="87">
        <v>0</v>
      </c>
      <c r="H1285" s="87" t="str">
        <v/>
      </c>
    </row>
    <row r="1286" spans="2:8" x14ac:dyDescent="0.2">
      <c r="B1286" s="87" t="str">
        <v/>
      </c>
      <c r="G1286" s="87">
        <v>0</v>
      </c>
      <c r="H1286" s="87" t="str">
        <v/>
      </c>
    </row>
    <row r="1287" spans="2:8" x14ac:dyDescent="0.2">
      <c r="B1287" s="87" t="str">
        <v/>
      </c>
      <c r="G1287" s="87">
        <v>0</v>
      </c>
      <c r="H1287" s="87" t="str">
        <v/>
      </c>
    </row>
    <row r="1288" spans="2:8" x14ac:dyDescent="0.2">
      <c r="B1288" s="87" t="str">
        <v/>
      </c>
      <c r="G1288" s="87">
        <v>0</v>
      </c>
      <c r="H1288" s="87" t="str">
        <v/>
      </c>
    </row>
    <row r="1289" spans="2:8" x14ac:dyDescent="0.2">
      <c r="B1289" s="87" t="str">
        <v/>
      </c>
      <c r="G1289" s="87">
        <v>0</v>
      </c>
      <c r="H1289" s="87" t="str">
        <v/>
      </c>
    </row>
    <row r="1290" spans="2:8" x14ac:dyDescent="0.2">
      <c r="B1290" s="87" t="str">
        <v/>
      </c>
      <c r="G1290" s="87">
        <v>0</v>
      </c>
      <c r="H1290" s="87" t="str">
        <v/>
      </c>
    </row>
    <row r="1291" spans="2:8" x14ac:dyDescent="0.2">
      <c r="B1291" s="87" t="str">
        <v/>
      </c>
      <c r="G1291" s="87">
        <v>0</v>
      </c>
      <c r="H1291" s="87" t="str">
        <v/>
      </c>
    </row>
    <row r="1292" spans="2:8" x14ac:dyDescent="0.2">
      <c r="B1292" s="87" t="str">
        <v/>
      </c>
      <c r="G1292" s="87">
        <v>0</v>
      </c>
      <c r="H1292" s="87" t="str">
        <v/>
      </c>
    </row>
    <row r="1293" spans="2:8" x14ac:dyDescent="0.2">
      <c r="B1293" s="87" t="str">
        <v/>
      </c>
      <c r="G1293" s="87">
        <v>0</v>
      </c>
      <c r="H1293" s="87" t="str">
        <v/>
      </c>
    </row>
    <row r="1294" spans="2:8" x14ac:dyDescent="0.2">
      <c r="B1294" s="87" t="str">
        <v/>
      </c>
      <c r="G1294" s="87">
        <v>0</v>
      </c>
      <c r="H1294" s="87" t="str">
        <v/>
      </c>
    </row>
    <row r="1295" spans="2:8" x14ac:dyDescent="0.2">
      <c r="B1295" s="87" t="str">
        <v/>
      </c>
      <c r="G1295" s="87">
        <v>0</v>
      </c>
      <c r="H1295" s="87" t="str">
        <v/>
      </c>
    </row>
    <row r="1296" spans="2:8" x14ac:dyDescent="0.2">
      <c r="B1296" s="87" t="str">
        <v/>
      </c>
      <c r="G1296" s="87">
        <v>0</v>
      </c>
      <c r="H1296" s="87" t="str">
        <v/>
      </c>
    </row>
    <row r="1297" spans="2:8" x14ac:dyDescent="0.2">
      <c r="B1297" s="87" t="str">
        <v/>
      </c>
      <c r="G1297" s="87">
        <v>0</v>
      </c>
      <c r="H1297" s="87" t="str">
        <v/>
      </c>
    </row>
    <row r="1298" spans="2:8" x14ac:dyDescent="0.2">
      <c r="B1298" s="87" t="str">
        <v/>
      </c>
      <c r="G1298" s="87">
        <v>0</v>
      </c>
      <c r="H1298" s="87" t="str">
        <v/>
      </c>
    </row>
    <row r="1299" spans="2:8" x14ac:dyDescent="0.2">
      <c r="B1299" s="87" t="str">
        <v/>
      </c>
      <c r="G1299" s="87">
        <v>0</v>
      </c>
      <c r="H1299" s="87" t="str">
        <v/>
      </c>
    </row>
    <row r="1300" spans="2:8" x14ac:dyDescent="0.2">
      <c r="B1300" s="87" t="str">
        <v/>
      </c>
      <c r="G1300" s="87">
        <v>0</v>
      </c>
      <c r="H1300" s="87" t="str">
        <v/>
      </c>
    </row>
    <row r="1301" spans="2:8" x14ac:dyDescent="0.2">
      <c r="B1301" s="87" t="str">
        <v/>
      </c>
      <c r="G1301" s="87">
        <v>0</v>
      </c>
      <c r="H1301" s="87" t="str">
        <v/>
      </c>
    </row>
    <row r="1302" spans="2:8" x14ac:dyDescent="0.2">
      <c r="B1302" s="87" t="str">
        <v/>
      </c>
      <c r="G1302" s="87">
        <v>0</v>
      </c>
      <c r="H1302" s="87" t="str">
        <v/>
      </c>
    </row>
    <row r="1303" spans="2:8" x14ac:dyDescent="0.2">
      <c r="B1303" s="87" t="str">
        <v/>
      </c>
      <c r="G1303" s="87">
        <v>0</v>
      </c>
      <c r="H1303" s="87" t="str">
        <v/>
      </c>
    </row>
    <row r="1304" spans="2:8" x14ac:dyDescent="0.2">
      <c r="B1304" s="87" t="str">
        <v/>
      </c>
      <c r="G1304" s="87">
        <v>0</v>
      </c>
      <c r="H1304" s="87" t="str">
        <v/>
      </c>
    </row>
    <row r="1305" spans="2:8" x14ac:dyDescent="0.2">
      <c r="B1305" s="87" t="str">
        <v/>
      </c>
      <c r="G1305" s="87">
        <v>0</v>
      </c>
      <c r="H1305" s="87" t="str">
        <v/>
      </c>
    </row>
    <row r="1306" spans="2:8" x14ac:dyDescent="0.2">
      <c r="B1306" s="87" t="str">
        <v/>
      </c>
      <c r="G1306" s="87">
        <v>0</v>
      </c>
      <c r="H1306" s="87" t="str">
        <v/>
      </c>
    </row>
    <row r="1307" spans="2:8" x14ac:dyDescent="0.2">
      <c r="B1307" s="87" t="str">
        <v/>
      </c>
      <c r="G1307" s="87">
        <v>0</v>
      </c>
      <c r="H1307" s="87" t="str">
        <v/>
      </c>
    </row>
    <row r="1308" spans="2:8" x14ac:dyDescent="0.2">
      <c r="B1308" s="87" t="str">
        <v/>
      </c>
      <c r="G1308" s="87">
        <v>0</v>
      </c>
      <c r="H1308" s="87" t="str">
        <v/>
      </c>
    </row>
    <row r="1309" spans="2:8" x14ac:dyDescent="0.2">
      <c r="B1309" s="87" t="str">
        <v/>
      </c>
      <c r="G1309" s="87">
        <v>0</v>
      </c>
      <c r="H1309" s="87" t="str">
        <v/>
      </c>
    </row>
    <row r="1310" spans="2:8" x14ac:dyDescent="0.2">
      <c r="B1310" s="87" t="str">
        <v/>
      </c>
      <c r="G1310" s="87">
        <v>0</v>
      </c>
      <c r="H1310" s="87" t="str">
        <v/>
      </c>
    </row>
    <row r="1311" spans="2:8" x14ac:dyDescent="0.2">
      <c r="B1311" s="87" t="str">
        <v/>
      </c>
      <c r="G1311" s="87">
        <v>0</v>
      </c>
      <c r="H1311" s="87" t="str">
        <v/>
      </c>
    </row>
    <row r="1312" spans="2:8" x14ac:dyDescent="0.2">
      <c r="B1312" s="87" t="str">
        <v/>
      </c>
      <c r="G1312" s="87">
        <v>0</v>
      </c>
      <c r="H1312" s="87" t="str">
        <v/>
      </c>
    </row>
    <row r="1313" spans="2:8" x14ac:dyDescent="0.2">
      <c r="B1313" s="87" t="str">
        <v/>
      </c>
      <c r="G1313" s="87">
        <v>0</v>
      </c>
      <c r="H1313" s="87" t="str">
        <v/>
      </c>
    </row>
    <row r="1314" spans="2:8" x14ac:dyDescent="0.2">
      <c r="B1314" s="87" t="str">
        <v/>
      </c>
      <c r="G1314" s="87">
        <v>0</v>
      </c>
      <c r="H1314" s="87" t="str">
        <v/>
      </c>
    </row>
    <row r="1315" spans="2:8" x14ac:dyDescent="0.2">
      <c r="B1315" s="87" t="str">
        <v/>
      </c>
      <c r="G1315" s="87">
        <v>0</v>
      </c>
      <c r="H1315" s="87" t="str">
        <v/>
      </c>
    </row>
    <row r="1316" spans="2:8" x14ac:dyDescent="0.2">
      <c r="B1316" s="87" t="str">
        <v/>
      </c>
      <c r="G1316" s="87">
        <v>0</v>
      </c>
      <c r="H1316" s="87" t="str">
        <v/>
      </c>
    </row>
    <row r="1317" spans="2:8" x14ac:dyDescent="0.2">
      <c r="B1317" s="87" t="str">
        <v/>
      </c>
      <c r="G1317" s="87">
        <v>0</v>
      </c>
      <c r="H1317" s="87" t="str">
        <v/>
      </c>
    </row>
    <row r="1318" spans="2:8" x14ac:dyDescent="0.2">
      <c r="B1318" s="87" t="str">
        <v/>
      </c>
      <c r="G1318" s="87">
        <v>0</v>
      </c>
      <c r="H1318" s="87" t="str">
        <v/>
      </c>
    </row>
    <row r="1319" spans="2:8" x14ac:dyDescent="0.2">
      <c r="B1319" s="87" t="str">
        <v/>
      </c>
      <c r="G1319" s="87">
        <v>0</v>
      </c>
      <c r="H1319" s="87" t="str">
        <v/>
      </c>
    </row>
    <row r="1320" spans="2:8" x14ac:dyDescent="0.2">
      <c r="B1320" s="87" t="str">
        <v/>
      </c>
      <c r="G1320" s="87">
        <v>0</v>
      </c>
      <c r="H1320" s="87" t="str">
        <v/>
      </c>
    </row>
    <row r="1321" spans="2:8" x14ac:dyDescent="0.2">
      <c r="B1321" s="87" t="str">
        <v/>
      </c>
      <c r="G1321" s="87">
        <v>0</v>
      </c>
      <c r="H1321" s="87" t="str">
        <v/>
      </c>
    </row>
    <row r="1322" spans="2:8" x14ac:dyDescent="0.2">
      <c r="B1322" s="87" t="str">
        <v/>
      </c>
      <c r="G1322" s="87">
        <v>0</v>
      </c>
      <c r="H1322" s="87" t="str">
        <v/>
      </c>
    </row>
    <row r="1323" spans="2:8" x14ac:dyDescent="0.2">
      <c r="B1323" s="87" t="str">
        <v/>
      </c>
      <c r="G1323" s="87">
        <v>0</v>
      </c>
      <c r="H1323" s="87" t="str">
        <v/>
      </c>
    </row>
    <row r="1324" spans="2:8" x14ac:dyDescent="0.2">
      <c r="B1324" s="87" t="str">
        <v/>
      </c>
      <c r="G1324" s="87">
        <v>0</v>
      </c>
      <c r="H1324" s="87" t="str">
        <v/>
      </c>
    </row>
    <row r="1325" spans="2:8" x14ac:dyDescent="0.2">
      <c r="B1325" s="87" t="str">
        <v/>
      </c>
      <c r="G1325" s="87">
        <v>0</v>
      </c>
      <c r="H1325" s="87" t="str">
        <v/>
      </c>
    </row>
    <row r="1326" spans="2:8" x14ac:dyDescent="0.2">
      <c r="B1326" s="87" t="str">
        <v/>
      </c>
      <c r="G1326" s="87">
        <v>0</v>
      </c>
      <c r="H1326" s="87" t="str">
        <v/>
      </c>
    </row>
    <row r="1327" spans="2:8" x14ac:dyDescent="0.2">
      <c r="B1327" s="87" t="str">
        <v/>
      </c>
      <c r="G1327" s="87">
        <v>0</v>
      </c>
      <c r="H1327" s="87" t="str">
        <v/>
      </c>
    </row>
    <row r="1328" spans="2:8" x14ac:dyDescent="0.2">
      <c r="B1328" s="87" t="str">
        <v/>
      </c>
      <c r="G1328" s="87">
        <v>0</v>
      </c>
      <c r="H1328" s="87" t="str">
        <v/>
      </c>
    </row>
    <row r="1329" spans="2:8" x14ac:dyDescent="0.2">
      <c r="B1329" s="87" t="str">
        <v/>
      </c>
      <c r="G1329" s="87">
        <v>0</v>
      </c>
      <c r="H1329" s="87" t="str">
        <v/>
      </c>
    </row>
    <row r="1330" spans="2:8" x14ac:dyDescent="0.2">
      <c r="B1330" s="87" t="str">
        <v/>
      </c>
      <c r="G1330" s="87">
        <v>0</v>
      </c>
      <c r="H1330" s="87" t="str">
        <v/>
      </c>
    </row>
    <row r="1331" spans="2:8" x14ac:dyDescent="0.2">
      <c r="B1331" s="87" t="str">
        <v/>
      </c>
      <c r="G1331" s="87">
        <v>0</v>
      </c>
      <c r="H1331" s="87" t="str">
        <v/>
      </c>
    </row>
    <row r="1332" spans="2:8" x14ac:dyDescent="0.2">
      <c r="B1332" s="87" t="str">
        <v/>
      </c>
      <c r="G1332" s="87">
        <v>0</v>
      </c>
      <c r="H1332" s="87" t="str">
        <v/>
      </c>
    </row>
    <row r="1333" spans="2:8" x14ac:dyDescent="0.2">
      <c r="B1333" s="87" t="str">
        <v/>
      </c>
      <c r="G1333" s="87">
        <v>0</v>
      </c>
      <c r="H1333" s="87" t="str">
        <v/>
      </c>
    </row>
    <row r="1334" spans="2:8" x14ac:dyDescent="0.2">
      <c r="B1334" s="87" t="str">
        <v/>
      </c>
      <c r="G1334" s="87">
        <v>0</v>
      </c>
      <c r="H1334" s="87" t="str">
        <v/>
      </c>
    </row>
    <row r="1335" spans="2:8" x14ac:dyDescent="0.2">
      <c r="B1335" s="87" t="str">
        <v/>
      </c>
      <c r="G1335" s="87">
        <v>0</v>
      </c>
      <c r="H1335" s="87" t="str">
        <v/>
      </c>
    </row>
    <row r="1336" spans="2:8" x14ac:dyDescent="0.2">
      <c r="B1336" s="87" t="str">
        <v/>
      </c>
      <c r="G1336" s="87">
        <v>0</v>
      </c>
      <c r="H1336" s="87" t="str">
        <v/>
      </c>
    </row>
    <row r="1337" spans="2:8" x14ac:dyDescent="0.2">
      <c r="B1337" s="87" t="str">
        <v/>
      </c>
      <c r="G1337" s="87">
        <v>0</v>
      </c>
      <c r="H1337" s="87" t="str">
        <v/>
      </c>
    </row>
    <row r="1338" spans="2:8" x14ac:dyDescent="0.2">
      <c r="B1338" s="87" t="str">
        <v/>
      </c>
      <c r="G1338" s="87">
        <v>0</v>
      </c>
      <c r="H1338" s="87" t="str">
        <v/>
      </c>
    </row>
    <row r="1339" spans="2:8" x14ac:dyDescent="0.2">
      <c r="B1339" s="87" t="str">
        <v/>
      </c>
      <c r="G1339" s="87">
        <v>0</v>
      </c>
      <c r="H1339" s="87" t="str">
        <v/>
      </c>
    </row>
    <row r="1340" spans="2:8" x14ac:dyDescent="0.2">
      <c r="B1340" s="87" t="str">
        <v/>
      </c>
      <c r="G1340" s="87">
        <v>0</v>
      </c>
      <c r="H1340" s="87" t="str">
        <v/>
      </c>
    </row>
    <row r="1341" spans="2:8" x14ac:dyDescent="0.2">
      <c r="B1341" s="87" t="str">
        <v/>
      </c>
      <c r="G1341" s="87">
        <v>0</v>
      </c>
      <c r="H1341" s="87" t="str">
        <v/>
      </c>
    </row>
    <row r="1342" spans="2:8" x14ac:dyDescent="0.2">
      <c r="B1342" s="87" t="str">
        <v/>
      </c>
      <c r="G1342" s="87">
        <v>0</v>
      </c>
      <c r="H1342" s="87" t="str">
        <v/>
      </c>
    </row>
    <row r="1343" spans="2:8" x14ac:dyDescent="0.2">
      <c r="B1343" s="87" t="str">
        <v/>
      </c>
      <c r="G1343" s="87">
        <v>0</v>
      </c>
      <c r="H1343" s="87" t="str">
        <v/>
      </c>
    </row>
    <row r="1344" spans="2:8" x14ac:dyDescent="0.2">
      <c r="B1344" s="87" t="str">
        <v/>
      </c>
      <c r="G1344" s="87">
        <v>0</v>
      </c>
      <c r="H1344" s="87" t="str">
        <v/>
      </c>
    </row>
    <row r="1345" spans="2:8" x14ac:dyDescent="0.2">
      <c r="B1345" s="87" t="str">
        <v/>
      </c>
      <c r="G1345" s="87">
        <v>0</v>
      </c>
      <c r="H1345" s="87" t="str">
        <v/>
      </c>
    </row>
    <row r="1346" spans="2:8" x14ac:dyDescent="0.2">
      <c r="B1346" s="87" t="str">
        <v/>
      </c>
      <c r="G1346" s="87">
        <v>0</v>
      </c>
      <c r="H1346" s="87" t="str">
        <v/>
      </c>
    </row>
    <row r="1347" spans="2:8" x14ac:dyDescent="0.2">
      <c r="B1347" s="87" t="str">
        <v/>
      </c>
      <c r="G1347" s="87">
        <v>0</v>
      </c>
      <c r="H1347" s="87" t="str">
        <v/>
      </c>
    </row>
    <row r="1348" spans="2:8" x14ac:dyDescent="0.2">
      <c r="B1348" s="87" t="str">
        <v/>
      </c>
      <c r="G1348" s="87">
        <v>0</v>
      </c>
      <c r="H1348" s="87" t="str">
        <v/>
      </c>
    </row>
    <row r="1349" spans="2:8" x14ac:dyDescent="0.2">
      <c r="B1349" s="87" t="str">
        <v/>
      </c>
      <c r="G1349" s="87">
        <v>0</v>
      </c>
      <c r="H1349" s="87" t="str">
        <v/>
      </c>
    </row>
    <row r="1350" spans="2:8" x14ac:dyDescent="0.2">
      <c r="B1350" s="87" t="str">
        <v/>
      </c>
      <c r="G1350" s="87">
        <v>0</v>
      </c>
      <c r="H1350" s="87" t="str">
        <v/>
      </c>
    </row>
    <row r="1351" spans="2:8" x14ac:dyDescent="0.2">
      <c r="B1351" s="87" t="str">
        <v/>
      </c>
      <c r="G1351" s="87">
        <v>0</v>
      </c>
      <c r="H1351" s="87" t="str">
        <v/>
      </c>
    </row>
    <row r="1352" spans="2:8" x14ac:dyDescent="0.2">
      <c r="B1352" s="87" t="str">
        <v/>
      </c>
      <c r="G1352" s="87">
        <v>0</v>
      </c>
      <c r="H1352" s="87" t="str">
        <v/>
      </c>
    </row>
    <row r="1353" spans="2:8" x14ac:dyDescent="0.2">
      <c r="B1353" s="87" t="str">
        <v/>
      </c>
      <c r="G1353" s="87">
        <v>0</v>
      </c>
      <c r="H1353" s="87" t="str">
        <v/>
      </c>
    </row>
    <row r="1354" spans="2:8" x14ac:dyDescent="0.2">
      <c r="B1354" s="87" t="str">
        <v/>
      </c>
      <c r="G1354" s="87">
        <v>0</v>
      </c>
      <c r="H1354" s="87" t="str">
        <v/>
      </c>
    </row>
    <row r="1355" spans="2:8" x14ac:dyDescent="0.2">
      <c r="B1355" s="87" t="str">
        <v/>
      </c>
      <c r="G1355" s="87">
        <v>0</v>
      </c>
      <c r="H1355" s="87" t="str">
        <v/>
      </c>
    </row>
    <row r="1356" spans="2:8" x14ac:dyDescent="0.2">
      <c r="B1356" s="87" t="str">
        <v/>
      </c>
      <c r="G1356" s="87">
        <v>0</v>
      </c>
      <c r="H1356" s="87" t="str">
        <v/>
      </c>
    </row>
    <row r="1357" spans="2:8" x14ac:dyDescent="0.2">
      <c r="B1357" s="87" t="str">
        <v/>
      </c>
      <c r="G1357" s="87">
        <v>0</v>
      </c>
      <c r="H1357" s="87" t="str">
        <v/>
      </c>
    </row>
    <row r="1358" spans="2:8" x14ac:dyDescent="0.2">
      <c r="B1358" s="87" t="str">
        <v/>
      </c>
      <c r="G1358" s="87">
        <v>0</v>
      </c>
      <c r="H1358" s="87" t="str">
        <v/>
      </c>
    </row>
    <row r="1359" spans="2:8" x14ac:dyDescent="0.2">
      <c r="B1359" s="87" t="str">
        <v/>
      </c>
      <c r="G1359" s="87">
        <v>0</v>
      </c>
      <c r="H1359" s="87" t="str">
        <v/>
      </c>
    </row>
    <row r="1360" spans="2:8" x14ac:dyDescent="0.2">
      <c r="B1360" s="87" t="str">
        <v/>
      </c>
      <c r="G1360" s="87">
        <v>0</v>
      </c>
      <c r="H1360" s="87" t="str">
        <v/>
      </c>
    </row>
    <row r="1361" spans="2:8" x14ac:dyDescent="0.2">
      <c r="B1361" s="87" t="str">
        <v/>
      </c>
      <c r="G1361" s="87">
        <v>0</v>
      </c>
      <c r="H1361" s="87" t="str">
        <v/>
      </c>
    </row>
    <row r="1362" spans="2:8" x14ac:dyDescent="0.2">
      <c r="B1362" s="87" t="str">
        <v/>
      </c>
      <c r="G1362" s="87">
        <v>0</v>
      </c>
      <c r="H1362" s="87" t="str">
        <v/>
      </c>
    </row>
    <row r="1363" spans="2:8" x14ac:dyDescent="0.2">
      <c r="B1363" s="87" t="str">
        <v/>
      </c>
      <c r="G1363" s="87">
        <v>0</v>
      </c>
      <c r="H1363" s="87" t="str">
        <v/>
      </c>
    </row>
    <row r="1364" spans="2:8" x14ac:dyDescent="0.2">
      <c r="B1364" s="87" t="str">
        <v/>
      </c>
      <c r="G1364" s="87">
        <v>0</v>
      </c>
      <c r="H1364" s="87" t="str">
        <v/>
      </c>
    </row>
    <row r="1365" spans="2:8" x14ac:dyDescent="0.2">
      <c r="B1365" s="87" t="str">
        <v/>
      </c>
      <c r="G1365" s="87">
        <v>0</v>
      </c>
      <c r="H1365" s="87" t="str">
        <v/>
      </c>
    </row>
    <row r="1366" spans="2:8" x14ac:dyDescent="0.2">
      <c r="B1366" s="87" t="str">
        <v/>
      </c>
      <c r="G1366" s="87">
        <v>0</v>
      </c>
      <c r="H1366" s="87" t="str">
        <v/>
      </c>
    </row>
    <row r="1367" spans="2:8" x14ac:dyDescent="0.2">
      <c r="B1367" s="87" t="str">
        <v/>
      </c>
      <c r="G1367" s="87">
        <v>0</v>
      </c>
      <c r="H1367" s="87" t="str">
        <v/>
      </c>
    </row>
    <row r="1368" spans="2:8" x14ac:dyDescent="0.2">
      <c r="B1368" s="87" t="str">
        <v/>
      </c>
      <c r="G1368" s="87">
        <v>0</v>
      </c>
      <c r="H1368" s="87" t="str">
        <v/>
      </c>
    </row>
    <row r="1369" spans="2:8" x14ac:dyDescent="0.2">
      <c r="B1369" s="87" t="str">
        <v/>
      </c>
      <c r="G1369" s="87">
        <v>0</v>
      </c>
      <c r="H1369" s="87" t="str">
        <v/>
      </c>
    </row>
    <row r="1370" spans="2:8" x14ac:dyDescent="0.2">
      <c r="B1370" s="87" t="str">
        <v/>
      </c>
      <c r="G1370" s="87">
        <v>0</v>
      </c>
      <c r="H1370" s="87" t="str">
        <v/>
      </c>
    </row>
    <row r="1371" spans="2:8" x14ac:dyDescent="0.2">
      <c r="B1371" s="87" t="str">
        <v/>
      </c>
      <c r="G1371" s="87">
        <v>0</v>
      </c>
      <c r="H1371" s="87" t="str">
        <v/>
      </c>
    </row>
    <row r="1372" spans="2:8" x14ac:dyDescent="0.2">
      <c r="B1372" s="87" t="str">
        <v/>
      </c>
      <c r="G1372" s="87">
        <v>0</v>
      </c>
      <c r="H1372" s="87" t="str">
        <v/>
      </c>
    </row>
    <row r="1373" spans="2:8" x14ac:dyDescent="0.2">
      <c r="B1373" s="87" t="str">
        <v/>
      </c>
      <c r="G1373" s="87">
        <v>0</v>
      </c>
      <c r="H1373" s="87" t="str">
        <v/>
      </c>
    </row>
    <row r="1374" spans="2:8" x14ac:dyDescent="0.2">
      <c r="B1374" s="87" t="str">
        <v/>
      </c>
      <c r="G1374" s="87">
        <v>0</v>
      </c>
      <c r="H1374" s="87" t="str">
        <v/>
      </c>
    </row>
    <row r="1375" spans="2:8" x14ac:dyDescent="0.2">
      <c r="B1375" s="87" t="str">
        <v/>
      </c>
      <c r="G1375" s="87">
        <v>0</v>
      </c>
      <c r="H1375" s="87" t="str">
        <v/>
      </c>
    </row>
    <row r="1376" spans="2:8" x14ac:dyDescent="0.2">
      <c r="B1376" s="87" t="str">
        <v/>
      </c>
      <c r="G1376" s="87">
        <v>0</v>
      </c>
      <c r="H1376" s="87" t="str">
        <v/>
      </c>
    </row>
    <row r="1377" spans="2:8" x14ac:dyDescent="0.2">
      <c r="B1377" s="87" t="str">
        <v/>
      </c>
      <c r="G1377" s="87">
        <v>0</v>
      </c>
      <c r="H1377" s="87" t="str">
        <v/>
      </c>
    </row>
    <row r="1378" spans="2:8" x14ac:dyDescent="0.2">
      <c r="B1378" s="87" t="str">
        <v/>
      </c>
      <c r="G1378" s="87">
        <v>0</v>
      </c>
      <c r="H1378" s="87" t="str">
        <v/>
      </c>
    </row>
    <row r="1379" spans="2:8" x14ac:dyDescent="0.2">
      <c r="B1379" s="87" t="str">
        <v/>
      </c>
      <c r="G1379" s="87">
        <v>0</v>
      </c>
      <c r="H1379" s="87" t="str">
        <v/>
      </c>
    </row>
    <row r="1380" spans="2:8" x14ac:dyDescent="0.2">
      <c r="B1380" s="87" t="str">
        <v/>
      </c>
      <c r="G1380" s="87">
        <v>0</v>
      </c>
      <c r="H1380" s="87" t="str">
        <v/>
      </c>
    </row>
    <row r="1381" spans="2:8" x14ac:dyDescent="0.2">
      <c r="B1381" s="87" t="str">
        <v/>
      </c>
      <c r="G1381" s="87">
        <v>0</v>
      </c>
      <c r="H1381" s="87" t="str">
        <v/>
      </c>
    </row>
    <row r="1382" spans="2:8" x14ac:dyDescent="0.2">
      <c r="B1382" s="87" t="str">
        <v/>
      </c>
      <c r="G1382" s="87">
        <v>0</v>
      </c>
      <c r="H1382" s="87" t="str">
        <v/>
      </c>
    </row>
    <row r="1383" spans="2:8" x14ac:dyDescent="0.2">
      <c r="B1383" s="87" t="str">
        <v/>
      </c>
      <c r="G1383" s="87">
        <v>0</v>
      </c>
      <c r="H1383" s="87" t="str">
        <v/>
      </c>
    </row>
    <row r="1384" spans="2:8" x14ac:dyDescent="0.2">
      <c r="B1384" s="87" t="str">
        <v/>
      </c>
      <c r="G1384" s="87">
        <v>0</v>
      </c>
      <c r="H1384" s="87" t="str">
        <v/>
      </c>
    </row>
    <row r="1385" spans="2:8" x14ac:dyDescent="0.2">
      <c r="B1385" s="87" t="str">
        <v/>
      </c>
      <c r="G1385" s="87">
        <v>0</v>
      </c>
      <c r="H1385" s="87" t="str">
        <v/>
      </c>
    </row>
    <row r="1386" spans="2:8" x14ac:dyDescent="0.2">
      <c r="B1386" s="87" t="str">
        <v/>
      </c>
      <c r="G1386" s="87">
        <v>0</v>
      </c>
      <c r="H1386" s="87" t="str">
        <v/>
      </c>
    </row>
    <row r="1387" spans="2:8" x14ac:dyDescent="0.2">
      <c r="B1387" s="87" t="str">
        <v/>
      </c>
      <c r="G1387" s="87">
        <v>0</v>
      </c>
      <c r="H1387" s="87" t="str">
        <v/>
      </c>
    </row>
    <row r="1388" spans="2:8" x14ac:dyDescent="0.2">
      <c r="B1388" s="87" t="str">
        <v/>
      </c>
      <c r="G1388" s="87">
        <v>0</v>
      </c>
      <c r="H1388" s="87" t="str">
        <v/>
      </c>
    </row>
    <row r="1389" spans="2:8" x14ac:dyDescent="0.2">
      <c r="B1389" s="87" t="str">
        <v/>
      </c>
      <c r="G1389" s="87">
        <v>0</v>
      </c>
      <c r="H1389" s="87" t="str">
        <v/>
      </c>
    </row>
    <row r="1390" spans="2:8" x14ac:dyDescent="0.2">
      <c r="B1390" s="87" t="str">
        <v/>
      </c>
      <c r="G1390" s="87">
        <v>0</v>
      </c>
      <c r="H1390" s="87" t="str">
        <v/>
      </c>
    </row>
    <row r="1391" spans="2:8" x14ac:dyDescent="0.2">
      <c r="B1391" s="87" t="str">
        <v/>
      </c>
      <c r="G1391" s="87">
        <v>0</v>
      </c>
      <c r="H1391" s="87" t="str">
        <v/>
      </c>
    </row>
    <row r="1392" spans="2:8" x14ac:dyDescent="0.2">
      <c r="B1392" s="87" t="str">
        <v/>
      </c>
      <c r="G1392" s="87">
        <v>0</v>
      </c>
      <c r="H1392" s="87" t="str">
        <v/>
      </c>
    </row>
    <row r="1393" spans="2:8" x14ac:dyDescent="0.2">
      <c r="B1393" s="87" t="str">
        <v/>
      </c>
      <c r="G1393" s="87">
        <v>0</v>
      </c>
      <c r="H1393" s="87" t="str">
        <v/>
      </c>
    </row>
    <row r="1394" spans="2:8" x14ac:dyDescent="0.2">
      <c r="B1394" s="87" t="str">
        <v/>
      </c>
      <c r="G1394" s="87">
        <v>0</v>
      </c>
      <c r="H1394" s="87" t="str">
        <v/>
      </c>
    </row>
    <row r="1395" spans="2:8" x14ac:dyDescent="0.2">
      <c r="B1395" s="87" t="str">
        <v/>
      </c>
      <c r="G1395" s="87">
        <v>0</v>
      </c>
      <c r="H1395" s="87" t="str">
        <v/>
      </c>
    </row>
    <row r="1396" spans="2:8" x14ac:dyDescent="0.2">
      <c r="B1396" s="87" t="str">
        <v/>
      </c>
      <c r="G1396" s="87">
        <v>0</v>
      </c>
      <c r="H1396" s="87" t="str">
        <v/>
      </c>
    </row>
    <row r="1397" spans="2:8" x14ac:dyDescent="0.2">
      <c r="B1397" s="87" t="str">
        <v/>
      </c>
      <c r="G1397" s="87">
        <v>0</v>
      </c>
      <c r="H1397" s="87" t="str">
        <v/>
      </c>
    </row>
    <row r="1398" spans="2:8" x14ac:dyDescent="0.2">
      <c r="B1398" s="87" t="str">
        <v/>
      </c>
      <c r="G1398" s="87">
        <v>0</v>
      </c>
      <c r="H1398" s="87" t="str">
        <v/>
      </c>
    </row>
    <row r="1399" spans="2:8" x14ac:dyDescent="0.2">
      <c r="B1399" s="87" t="str">
        <v/>
      </c>
      <c r="G1399" s="87">
        <v>0</v>
      </c>
      <c r="H1399" s="87" t="str">
        <v/>
      </c>
    </row>
    <row r="1400" spans="2:8" x14ac:dyDescent="0.2">
      <c r="B1400" s="87" t="str">
        <v/>
      </c>
      <c r="G1400" s="87">
        <v>0</v>
      </c>
      <c r="H1400" s="87" t="str">
        <v/>
      </c>
    </row>
    <row r="1401" spans="2:8" x14ac:dyDescent="0.2">
      <c r="B1401" s="87" t="str">
        <v/>
      </c>
      <c r="G1401" s="87">
        <v>0</v>
      </c>
      <c r="H1401" s="87" t="str">
        <v/>
      </c>
    </row>
    <row r="1402" spans="2:8" x14ac:dyDescent="0.2">
      <c r="B1402" s="87" t="str">
        <v/>
      </c>
      <c r="G1402" s="87">
        <v>0</v>
      </c>
      <c r="H1402" s="87" t="str">
        <v/>
      </c>
    </row>
    <row r="1403" spans="2:8" x14ac:dyDescent="0.2">
      <c r="B1403" s="87" t="str">
        <v/>
      </c>
      <c r="G1403" s="87">
        <v>0</v>
      </c>
      <c r="H1403" s="87" t="str">
        <v/>
      </c>
    </row>
    <row r="1404" spans="2:8" x14ac:dyDescent="0.2">
      <c r="B1404" s="87" t="str">
        <v/>
      </c>
      <c r="G1404" s="87">
        <v>0</v>
      </c>
      <c r="H1404" s="87" t="str">
        <v/>
      </c>
    </row>
    <row r="1405" spans="2:8" x14ac:dyDescent="0.2">
      <c r="B1405" s="87" t="str">
        <v/>
      </c>
      <c r="G1405" s="87">
        <v>0</v>
      </c>
      <c r="H1405" s="87" t="str">
        <v/>
      </c>
    </row>
    <row r="1406" spans="2:8" x14ac:dyDescent="0.2">
      <c r="B1406" s="87" t="str">
        <v/>
      </c>
      <c r="G1406" s="87">
        <v>0</v>
      </c>
      <c r="H1406" s="87" t="str">
        <v/>
      </c>
    </row>
    <row r="1407" spans="2:8" x14ac:dyDescent="0.2">
      <c r="B1407" s="87" t="str">
        <v/>
      </c>
      <c r="G1407" s="87">
        <v>0</v>
      </c>
      <c r="H1407" s="87" t="str">
        <v/>
      </c>
    </row>
    <row r="1408" spans="2:8" x14ac:dyDescent="0.2">
      <c r="B1408" s="87" t="str">
        <v/>
      </c>
      <c r="G1408" s="87">
        <v>0</v>
      </c>
      <c r="H1408" s="87" t="str">
        <v/>
      </c>
    </row>
    <row r="1409" spans="2:8" x14ac:dyDescent="0.2">
      <c r="B1409" s="87" t="str">
        <v/>
      </c>
      <c r="G1409" s="87">
        <v>0</v>
      </c>
      <c r="H1409" s="87" t="str">
        <v/>
      </c>
    </row>
    <row r="1410" spans="2:8" x14ac:dyDescent="0.2">
      <c r="B1410" s="87" t="str">
        <v/>
      </c>
      <c r="G1410" s="87">
        <v>0</v>
      </c>
      <c r="H1410" s="87" t="str">
        <v/>
      </c>
    </row>
    <row r="1411" spans="2:8" x14ac:dyDescent="0.2">
      <c r="B1411" s="87" t="str">
        <v/>
      </c>
      <c r="G1411" s="87">
        <v>0</v>
      </c>
      <c r="H1411" s="87" t="str">
        <v/>
      </c>
    </row>
    <row r="1412" spans="2:8" x14ac:dyDescent="0.2">
      <c r="B1412" s="87" t="str">
        <v/>
      </c>
      <c r="G1412" s="87">
        <v>0</v>
      </c>
      <c r="H1412" s="87" t="str">
        <v/>
      </c>
    </row>
    <row r="1413" spans="2:8" x14ac:dyDescent="0.2">
      <c r="B1413" s="87" t="str">
        <v/>
      </c>
      <c r="G1413" s="87">
        <v>0</v>
      </c>
      <c r="H1413" s="87" t="str">
        <v/>
      </c>
    </row>
    <row r="1414" spans="2:8" x14ac:dyDescent="0.2">
      <c r="B1414" s="87" t="str">
        <v/>
      </c>
      <c r="G1414" s="87">
        <v>0</v>
      </c>
      <c r="H1414" s="87" t="str">
        <v/>
      </c>
    </row>
    <row r="1415" spans="2:8" x14ac:dyDescent="0.2">
      <c r="B1415" s="87" t="str">
        <v/>
      </c>
      <c r="G1415" s="87">
        <v>0</v>
      </c>
      <c r="H1415" s="87" t="str">
        <v/>
      </c>
    </row>
    <row r="1416" spans="2:8" x14ac:dyDescent="0.2">
      <c r="B1416" s="87" t="str">
        <v/>
      </c>
      <c r="G1416" s="87">
        <v>0</v>
      </c>
      <c r="H1416" s="87" t="str">
        <v/>
      </c>
    </row>
    <row r="1417" spans="2:8" x14ac:dyDescent="0.2">
      <c r="B1417" s="87" t="str">
        <v/>
      </c>
      <c r="G1417" s="87">
        <v>0</v>
      </c>
      <c r="H1417" s="87" t="str">
        <v/>
      </c>
    </row>
    <row r="1418" spans="2:8" x14ac:dyDescent="0.2">
      <c r="B1418" s="87" t="str">
        <v/>
      </c>
      <c r="G1418" s="87">
        <v>0</v>
      </c>
      <c r="H1418" s="87" t="str">
        <v/>
      </c>
    </row>
    <row r="1419" spans="2:8" x14ac:dyDescent="0.2">
      <c r="B1419" s="87" t="str">
        <v/>
      </c>
      <c r="G1419" s="87">
        <v>0</v>
      </c>
      <c r="H1419" s="87" t="str">
        <v/>
      </c>
    </row>
    <row r="1420" spans="2:8" x14ac:dyDescent="0.2">
      <c r="B1420" s="87" t="str">
        <v/>
      </c>
      <c r="G1420" s="87">
        <v>0</v>
      </c>
      <c r="H1420" s="87" t="str">
        <v/>
      </c>
    </row>
    <row r="1421" spans="2:8" x14ac:dyDescent="0.2">
      <c r="B1421" s="87" t="str">
        <v/>
      </c>
      <c r="G1421" s="87">
        <v>0</v>
      </c>
      <c r="H1421" s="87" t="str">
        <v/>
      </c>
    </row>
    <row r="1422" spans="2:8" x14ac:dyDescent="0.2">
      <c r="B1422" s="87" t="str">
        <v/>
      </c>
      <c r="G1422" s="87">
        <v>0</v>
      </c>
      <c r="H1422" s="87" t="str">
        <v/>
      </c>
    </row>
    <row r="1423" spans="2:8" x14ac:dyDescent="0.2">
      <c r="B1423" s="87" t="str">
        <v/>
      </c>
      <c r="G1423" s="87">
        <v>0</v>
      </c>
      <c r="H1423" s="87" t="str">
        <v/>
      </c>
    </row>
    <row r="1424" spans="2:8" x14ac:dyDescent="0.2">
      <c r="B1424" s="87" t="str">
        <v/>
      </c>
      <c r="G1424" s="87">
        <v>0</v>
      </c>
      <c r="H1424" s="87" t="str">
        <v/>
      </c>
    </row>
    <row r="1425" spans="2:8" x14ac:dyDescent="0.2">
      <c r="B1425" s="87" t="str">
        <v/>
      </c>
      <c r="G1425" s="87">
        <v>0</v>
      </c>
      <c r="H1425" s="87" t="str">
        <v/>
      </c>
    </row>
    <row r="1426" spans="2:8" x14ac:dyDescent="0.2">
      <c r="B1426" s="87" t="str">
        <v/>
      </c>
      <c r="G1426" s="87">
        <v>0</v>
      </c>
      <c r="H1426" s="87" t="str">
        <v/>
      </c>
    </row>
    <row r="1427" spans="2:8" x14ac:dyDescent="0.2">
      <c r="B1427" s="87" t="str">
        <v/>
      </c>
      <c r="G1427" s="87">
        <v>0</v>
      </c>
      <c r="H1427" s="87" t="str">
        <v/>
      </c>
    </row>
    <row r="1428" spans="2:8" x14ac:dyDescent="0.2">
      <c r="B1428" s="87" t="str">
        <v/>
      </c>
      <c r="G1428" s="87">
        <v>0</v>
      </c>
      <c r="H1428" s="87" t="str">
        <v/>
      </c>
    </row>
    <row r="1429" spans="2:8" x14ac:dyDescent="0.2">
      <c r="B1429" s="87" t="str">
        <v/>
      </c>
      <c r="G1429" s="87">
        <v>0</v>
      </c>
      <c r="H1429" s="87" t="str">
        <v/>
      </c>
    </row>
    <row r="1430" spans="2:8" x14ac:dyDescent="0.2">
      <c r="B1430" s="87" t="str">
        <v/>
      </c>
      <c r="G1430" s="87">
        <v>0</v>
      </c>
      <c r="H1430" s="87" t="str">
        <v/>
      </c>
    </row>
    <row r="1431" spans="2:8" x14ac:dyDescent="0.2">
      <c r="B1431" s="87" t="str">
        <v/>
      </c>
      <c r="G1431" s="87">
        <v>0</v>
      </c>
      <c r="H1431" s="87" t="str">
        <v/>
      </c>
    </row>
    <row r="1432" spans="2:8" x14ac:dyDescent="0.2">
      <c r="B1432" s="87" t="str">
        <v/>
      </c>
      <c r="G1432" s="87">
        <v>0</v>
      </c>
      <c r="H1432" s="87" t="str">
        <v/>
      </c>
    </row>
    <row r="1433" spans="2:8" x14ac:dyDescent="0.2">
      <c r="B1433" s="87" t="str">
        <v/>
      </c>
      <c r="G1433" s="87">
        <v>0</v>
      </c>
      <c r="H1433" s="87" t="str">
        <v/>
      </c>
    </row>
    <row r="1434" spans="2:8" x14ac:dyDescent="0.2">
      <c r="B1434" s="87" t="str">
        <v/>
      </c>
      <c r="G1434" s="87">
        <v>0</v>
      </c>
      <c r="H1434" s="87" t="str">
        <v/>
      </c>
    </row>
    <row r="1435" spans="2:8" x14ac:dyDescent="0.2">
      <c r="B1435" s="87" t="str">
        <v/>
      </c>
      <c r="G1435" s="87">
        <v>0</v>
      </c>
      <c r="H1435" s="87" t="str">
        <v/>
      </c>
    </row>
    <row r="1436" spans="2:8" x14ac:dyDescent="0.2">
      <c r="B1436" s="87" t="str">
        <v/>
      </c>
      <c r="G1436" s="87">
        <v>0</v>
      </c>
      <c r="H1436" s="87" t="str">
        <v/>
      </c>
    </row>
    <row r="1437" spans="2:8" x14ac:dyDescent="0.2">
      <c r="B1437" s="87" t="str">
        <v/>
      </c>
      <c r="G1437" s="87">
        <v>0</v>
      </c>
      <c r="H1437" s="87" t="str">
        <v/>
      </c>
    </row>
    <row r="1438" spans="2:8" x14ac:dyDescent="0.2">
      <c r="B1438" s="87" t="str">
        <v/>
      </c>
      <c r="G1438" s="87">
        <v>0</v>
      </c>
      <c r="H1438" s="87" t="str">
        <v/>
      </c>
    </row>
    <row r="1439" spans="2:8" x14ac:dyDescent="0.2">
      <c r="B1439" s="87" t="str">
        <v/>
      </c>
      <c r="G1439" s="87">
        <v>0</v>
      </c>
      <c r="H1439" s="87" t="str">
        <v/>
      </c>
    </row>
    <row r="1440" spans="2:8" x14ac:dyDescent="0.2">
      <c r="B1440" s="87" t="str">
        <v/>
      </c>
      <c r="G1440" s="87">
        <v>0</v>
      </c>
      <c r="H1440" s="87" t="str">
        <v/>
      </c>
    </row>
    <row r="1441" spans="2:8" x14ac:dyDescent="0.2">
      <c r="B1441" s="87" t="str">
        <v/>
      </c>
      <c r="G1441" s="87">
        <v>0</v>
      </c>
      <c r="H1441" s="87" t="str">
        <v/>
      </c>
    </row>
    <row r="1442" spans="2:8" x14ac:dyDescent="0.2">
      <c r="B1442" s="87" t="str">
        <v/>
      </c>
      <c r="G1442" s="87">
        <v>0</v>
      </c>
      <c r="H1442" s="87" t="str">
        <v/>
      </c>
    </row>
    <row r="1443" spans="2:8" x14ac:dyDescent="0.2">
      <c r="B1443" s="87" t="str">
        <v/>
      </c>
      <c r="G1443" s="87">
        <v>0</v>
      </c>
      <c r="H1443" s="87" t="str">
        <v/>
      </c>
    </row>
    <row r="1444" spans="2:8" x14ac:dyDescent="0.2">
      <c r="B1444" s="87" t="str">
        <v/>
      </c>
      <c r="G1444" s="87">
        <v>0</v>
      </c>
      <c r="H1444" s="87" t="str">
        <v/>
      </c>
    </row>
    <row r="1445" spans="2:8" x14ac:dyDescent="0.2">
      <c r="B1445" s="87" t="str">
        <v/>
      </c>
      <c r="G1445" s="87">
        <v>0</v>
      </c>
      <c r="H1445" s="87" t="str">
        <v/>
      </c>
    </row>
    <row r="1446" spans="2:8" x14ac:dyDescent="0.2">
      <c r="B1446" s="87" t="str">
        <v/>
      </c>
      <c r="G1446" s="87">
        <v>0</v>
      </c>
      <c r="H1446" s="87" t="str">
        <v/>
      </c>
    </row>
    <row r="1447" spans="2:8" x14ac:dyDescent="0.2">
      <c r="B1447" s="87" t="str">
        <v/>
      </c>
      <c r="G1447" s="87">
        <v>0</v>
      </c>
      <c r="H1447" s="87" t="str">
        <v/>
      </c>
    </row>
    <row r="1448" spans="2:8" x14ac:dyDescent="0.2">
      <c r="B1448" s="87" t="str">
        <v/>
      </c>
      <c r="G1448" s="87">
        <v>0</v>
      </c>
      <c r="H1448" s="87" t="str">
        <v/>
      </c>
    </row>
    <row r="1449" spans="2:8" x14ac:dyDescent="0.2">
      <c r="B1449" s="87" t="str">
        <v/>
      </c>
      <c r="G1449" s="87">
        <v>0</v>
      </c>
      <c r="H1449" s="87" t="str">
        <v/>
      </c>
    </row>
    <row r="1450" spans="2:8" x14ac:dyDescent="0.2">
      <c r="B1450" s="87" t="str">
        <v/>
      </c>
      <c r="G1450" s="87">
        <v>0</v>
      </c>
      <c r="H1450" s="87" t="str">
        <v/>
      </c>
    </row>
    <row r="1451" spans="2:8" x14ac:dyDescent="0.2">
      <c r="B1451" s="87" t="str">
        <v/>
      </c>
      <c r="G1451" s="87">
        <v>0</v>
      </c>
      <c r="H1451" s="87" t="str">
        <v/>
      </c>
    </row>
    <row r="1452" spans="2:8" x14ac:dyDescent="0.2">
      <c r="B1452" s="87" t="str">
        <v/>
      </c>
      <c r="G1452" s="87">
        <v>0</v>
      </c>
      <c r="H1452" s="87" t="str">
        <v/>
      </c>
    </row>
    <row r="1453" spans="2:8" x14ac:dyDescent="0.2">
      <c r="B1453" s="87" t="str">
        <v/>
      </c>
      <c r="G1453" s="87">
        <v>0</v>
      </c>
      <c r="H1453" s="87" t="str">
        <v/>
      </c>
    </row>
    <row r="1454" spans="2:8" x14ac:dyDescent="0.2">
      <c r="B1454" s="87" t="str">
        <v/>
      </c>
      <c r="G1454" s="87">
        <v>0</v>
      </c>
      <c r="H1454" s="87" t="str">
        <v/>
      </c>
    </row>
    <row r="1455" spans="2:8" x14ac:dyDescent="0.2">
      <c r="B1455" s="87" t="str">
        <v/>
      </c>
      <c r="G1455" s="87">
        <v>0</v>
      </c>
      <c r="H1455" s="87" t="str">
        <v/>
      </c>
    </row>
    <row r="1456" spans="2:8" x14ac:dyDescent="0.2">
      <c r="B1456" s="87" t="str">
        <v/>
      </c>
      <c r="G1456" s="87">
        <v>0</v>
      </c>
      <c r="H1456" s="87" t="str">
        <v/>
      </c>
    </row>
    <row r="1457" spans="2:8" x14ac:dyDescent="0.2">
      <c r="B1457" s="87" t="str">
        <v/>
      </c>
      <c r="G1457" s="87">
        <v>0</v>
      </c>
      <c r="H1457" s="87" t="str">
        <v/>
      </c>
    </row>
    <row r="1458" spans="2:8" x14ac:dyDescent="0.2">
      <c r="B1458" s="87" t="str">
        <v/>
      </c>
      <c r="G1458" s="87">
        <v>0</v>
      </c>
      <c r="H1458" s="87" t="str">
        <v/>
      </c>
    </row>
    <row r="1459" spans="2:8" x14ac:dyDescent="0.2">
      <c r="B1459" s="87" t="str">
        <v/>
      </c>
      <c r="G1459" s="87">
        <v>0</v>
      </c>
      <c r="H1459" s="87" t="str">
        <v/>
      </c>
    </row>
    <row r="1460" spans="2:8" x14ac:dyDescent="0.2">
      <c r="B1460" s="87" t="str">
        <v/>
      </c>
      <c r="G1460" s="87">
        <v>0</v>
      </c>
      <c r="H1460" s="87" t="str">
        <v/>
      </c>
    </row>
    <row r="1461" spans="2:8" x14ac:dyDescent="0.2">
      <c r="B1461" s="87" t="str">
        <v/>
      </c>
      <c r="G1461" s="87">
        <v>0</v>
      </c>
      <c r="H1461" s="87" t="str">
        <v/>
      </c>
    </row>
    <row r="1462" spans="2:8" x14ac:dyDescent="0.2">
      <c r="B1462" s="87" t="str">
        <v/>
      </c>
      <c r="G1462" s="87">
        <v>0</v>
      </c>
      <c r="H1462" s="87" t="str">
        <v/>
      </c>
    </row>
    <row r="1463" spans="2:8" x14ac:dyDescent="0.2">
      <c r="B1463" s="87" t="str">
        <v/>
      </c>
      <c r="G1463" s="87">
        <v>0</v>
      </c>
      <c r="H1463" s="87" t="str">
        <v/>
      </c>
    </row>
    <row r="1464" spans="2:8" x14ac:dyDescent="0.2">
      <c r="B1464" s="87" t="str">
        <v/>
      </c>
      <c r="G1464" s="87">
        <v>0</v>
      </c>
      <c r="H1464" s="87" t="str">
        <v/>
      </c>
    </row>
    <row r="1465" spans="2:8" x14ac:dyDescent="0.2">
      <c r="B1465" s="87" t="str">
        <v/>
      </c>
      <c r="G1465" s="87">
        <v>0</v>
      </c>
      <c r="H1465" s="87" t="str">
        <v/>
      </c>
    </row>
    <row r="1466" spans="2:8" x14ac:dyDescent="0.2">
      <c r="B1466" s="87" t="str">
        <v/>
      </c>
      <c r="G1466" s="87">
        <v>0</v>
      </c>
      <c r="H1466" s="87" t="str">
        <v/>
      </c>
    </row>
    <row r="1467" spans="2:8" x14ac:dyDescent="0.2">
      <c r="B1467" s="87" t="str">
        <v/>
      </c>
      <c r="G1467" s="87">
        <v>0</v>
      </c>
      <c r="H1467" s="87" t="str">
        <v/>
      </c>
    </row>
    <row r="1468" spans="2:8" x14ac:dyDescent="0.2">
      <c r="B1468" s="87" t="str">
        <v/>
      </c>
      <c r="G1468" s="87">
        <v>0</v>
      </c>
      <c r="H1468" s="87" t="str">
        <v/>
      </c>
    </row>
    <row r="1469" spans="2:8" x14ac:dyDescent="0.2">
      <c r="B1469" s="87" t="str">
        <v/>
      </c>
      <c r="G1469" s="87">
        <v>0</v>
      </c>
      <c r="H1469" s="87" t="str">
        <v/>
      </c>
    </row>
    <row r="1470" spans="2:8" x14ac:dyDescent="0.2">
      <c r="B1470" s="87" t="str">
        <v/>
      </c>
      <c r="G1470" s="87">
        <v>0</v>
      </c>
      <c r="H1470" s="87" t="str">
        <v/>
      </c>
    </row>
    <row r="1471" spans="2:8" x14ac:dyDescent="0.2">
      <c r="B1471" s="87" t="str">
        <v/>
      </c>
      <c r="G1471" s="87">
        <v>0</v>
      </c>
      <c r="H1471" s="87" t="str">
        <v/>
      </c>
    </row>
    <row r="1472" spans="2:8" x14ac:dyDescent="0.2">
      <c r="B1472" s="87" t="str">
        <v/>
      </c>
      <c r="G1472" s="87">
        <v>0</v>
      </c>
      <c r="H1472" s="87" t="str">
        <v/>
      </c>
    </row>
    <row r="1473" spans="2:8" x14ac:dyDescent="0.2">
      <c r="B1473" s="87" t="str">
        <v/>
      </c>
      <c r="G1473" s="87">
        <v>0</v>
      </c>
      <c r="H1473" s="87" t="str">
        <v/>
      </c>
    </row>
    <row r="1474" spans="2:8" x14ac:dyDescent="0.2">
      <c r="B1474" s="87" t="str">
        <v/>
      </c>
      <c r="G1474" s="87">
        <v>0</v>
      </c>
      <c r="H1474" s="87" t="str">
        <v/>
      </c>
    </row>
    <row r="1475" spans="2:8" x14ac:dyDescent="0.2">
      <c r="B1475" s="87" t="str">
        <v/>
      </c>
      <c r="G1475" s="87">
        <v>0</v>
      </c>
      <c r="H1475" s="87" t="str">
        <v/>
      </c>
    </row>
    <row r="1476" spans="2:8" x14ac:dyDescent="0.2">
      <c r="B1476" s="87" t="str">
        <v/>
      </c>
      <c r="G1476" s="87">
        <v>0</v>
      </c>
      <c r="H1476" s="87" t="str">
        <v/>
      </c>
    </row>
    <row r="1477" spans="2:8" x14ac:dyDescent="0.2">
      <c r="B1477" s="87" t="str">
        <v/>
      </c>
      <c r="G1477" s="87">
        <v>0</v>
      </c>
      <c r="H1477" s="87" t="str">
        <v/>
      </c>
    </row>
    <row r="1478" spans="2:8" x14ac:dyDescent="0.2">
      <c r="B1478" s="87" t="str">
        <v/>
      </c>
      <c r="G1478" s="87">
        <v>0</v>
      </c>
      <c r="H1478" s="87" t="str">
        <v/>
      </c>
    </row>
    <row r="1479" spans="2:8" x14ac:dyDescent="0.2">
      <c r="B1479" s="87" t="str">
        <v/>
      </c>
      <c r="G1479" s="87">
        <v>0</v>
      </c>
      <c r="H1479" s="87" t="str">
        <v/>
      </c>
    </row>
    <row r="1480" spans="2:8" x14ac:dyDescent="0.2">
      <c r="B1480" s="87" t="str">
        <v/>
      </c>
      <c r="G1480" s="87">
        <v>0</v>
      </c>
      <c r="H1480" s="87" t="str">
        <v/>
      </c>
    </row>
    <row r="1481" spans="2:8" x14ac:dyDescent="0.2">
      <c r="B1481" s="87" t="str">
        <v/>
      </c>
      <c r="G1481" s="87">
        <v>0</v>
      </c>
      <c r="H1481" s="87" t="str">
        <v/>
      </c>
    </row>
    <row r="1482" spans="2:8" x14ac:dyDescent="0.2">
      <c r="B1482" s="87" t="str">
        <v/>
      </c>
      <c r="G1482" s="87">
        <v>0</v>
      </c>
      <c r="H1482" s="87" t="str">
        <v/>
      </c>
    </row>
    <row r="1483" spans="2:8" x14ac:dyDescent="0.2">
      <c r="B1483" s="87" t="str">
        <v/>
      </c>
      <c r="G1483" s="87">
        <v>0</v>
      </c>
      <c r="H1483" s="87" t="str">
        <v/>
      </c>
    </row>
    <row r="1484" spans="2:8" x14ac:dyDescent="0.2">
      <c r="B1484" s="87" t="str">
        <v/>
      </c>
      <c r="G1484" s="87">
        <v>0</v>
      </c>
      <c r="H1484" s="87" t="str">
        <v/>
      </c>
    </row>
    <row r="1485" spans="2:8" x14ac:dyDescent="0.2">
      <c r="B1485" s="87" t="str">
        <v/>
      </c>
      <c r="G1485" s="87">
        <v>0</v>
      </c>
      <c r="H1485" s="87" t="str">
        <v/>
      </c>
    </row>
    <row r="1486" spans="2:8" x14ac:dyDescent="0.2">
      <c r="B1486" s="87" t="str">
        <v/>
      </c>
      <c r="G1486" s="87">
        <v>0</v>
      </c>
      <c r="H1486" s="87" t="str">
        <v/>
      </c>
    </row>
    <row r="1487" spans="2:8" x14ac:dyDescent="0.2">
      <c r="B1487" s="87" t="str">
        <v/>
      </c>
      <c r="G1487" s="87">
        <v>0</v>
      </c>
      <c r="H1487" s="87" t="str">
        <v/>
      </c>
    </row>
    <row r="1488" spans="2:8" x14ac:dyDescent="0.2">
      <c r="B1488" s="87" t="str">
        <v/>
      </c>
      <c r="G1488" s="87">
        <v>0</v>
      </c>
      <c r="H1488" s="87" t="str">
        <v/>
      </c>
    </row>
    <row r="1489" spans="2:8" x14ac:dyDescent="0.2">
      <c r="B1489" s="87" t="str">
        <v/>
      </c>
      <c r="G1489" s="87">
        <v>0</v>
      </c>
      <c r="H1489" s="87" t="str">
        <v/>
      </c>
    </row>
    <row r="1490" spans="2:8" x14ac:dyDescent="0.2">
      <c r="B1490" s="87" t="str">
        <v/>
      </c>
      <c r="G1490" s="87">
        <v>0</v>
      </c>
      <c r="H1490" s="87" t="str">
        <v/>
      </c>
    </row>
    <row r="1491" spans="2:8" x14ac:dyDescent="0.2">
      <c r="B1491" s="87" t="str">
        <v/>
      </c>
      <c r="G1491" s="87">
        <v>0</v>
      </c>
      <c r="H1491" s="87" t="str">
        <v/>
      </c>
    </row>
    <row r="1492" spans="2:8" x14ac:dyDescent="0.2">
      <c r="B1492" s="87" t="str">
        <v/>
      </c>
      <c r="G1492" s="87">
        <v>0</v>
      </c>
      <c r="H1492" s="87" t="str">
        <v/>
      </c>
    </row>
    <row r="1493" spans="2:8" x14ac:dyDescent="0.2">
      <c r="B1493" s="87" t="str">
        <v/>
      </c>
      <c r="G1493" s="87">
        <v>0</v>
      </c>
      <c r="H1493" s="87" t="str">
        <v/>
      </c>
    </row>
    <row r="1494" spans="2:8" x14ac:dyDescent="0.2">
      <c r="B1494" s="87" t="str">
        <v/>
      </c>
      <c r="G1494" s="87">
        <v>0</v>
      </c>
      <c r="H1494" s="87" t="str">
        <v/>
      </c>
    </row>
    <row r="1495" spans="2:8" x14ac:dyDescent="0.2">
      <c r="B1495" s="87" t="str">
        <v/>
      </c>
      <c r="G1495" s="87">
        <v>0</v>
      </c>
      <c r="H1495" s="87" t="str">
        <v/>
      </c>
    </row>
    <row r="1496" spans="2:8" x14ac:dyDescent="0.2">
      <c r="B1496" s="87" t="str">
        <v/>
      </c>
      <c r="G1496" s="87">
        <v>0</v>
      </c>
      <c r="H1496" s="87" t="str">
        <v/>
      </c>
    </row>
    <row r="1497" spans="2:8" x14ac:dyDescent="0.2">
      <c r="B1497" s="87" t="str">
        <v/>
      </c>
      <c r="G1497" s="87">
        <v>0</v>
      </c>
      <c r="H1497" s="87" t="str">
        <v/>
      </c>
    </row>
    <row r="1498" spans="2:8" x14ac:dyDescent="0.2">
      <c r="B1498" s="87" t="str">
        <v/>
      </c>
      <c r="G1498" s="87">
        <v>0</v>
      </c>
      <c r="H1498" s="87" t="str">
        <v/>
      </c>
    </row>
    <row r="1499" spans="2:8" x14ac:dyDescent="0.2">
      <c r="B1499" s="87" t="str">
        <v/>
      </c>
      <c r="G1499" s="87">
        <v>0</v>
      </c>
      <c r="H1499" s="87" t="str">
        <v/>
      </c>
    </row>
    <row r="1500" spans="2:8" x14ac:dyDescent="0.2">
      <c r="B1500" s="87" t="str">
        <v/>
      </c>
      <c r="G1500" s="87">
        <v>0</v>
      </c>
      <c r="H1500" s="87" t="str">
        <v/>
      </c>
    </row>
    <row r="1501" spans="2:8" x14ac:dyDescent="0.2">
      <c r="B1501" s="87" t="str">
        <v/>
      </c>
      <c r="G1501" s="87">
        <v>0</v>
      </c>
      <c r="H1501" s="87" t="str">
        <v/>
      </c>
    </row>
    <row r="1502" spans="2:8" x14ac:dyDescent="0.2">
      <c r="B1502" s="87" t="str">
        <v/>
      </c>
      <c r="G1502" s="87">
        <v>0</v>
      </c>
      <c r="H1502" s="87" t="str">
        <v/>
      </c>
    </row>
    <row r="1503" spans="2:8" x14ac:dyDescent="0.2">
      <c r="B1503" s="87" t="str">
        <v/>
      </c>
      <c r="G1503" s="87">
        <v>0</v>
      </c>
      <c r="H1503" s="87" t="str">
        <v/>
      </c>
    </row>
    <row r="1504" spans="2:8" x14ac:dyDescent="0.2">
      <c r="B1504" s="87" t="str">
        <v/>
      </c>
      <c r="G1504" s="87">
        <v>0</v>
      </c>
      <c r="H1504" s="87" t="str">
        <v/>
      </c>
    </row>
    <row r="1505" spans="2:8" x14ac:dyDescent="0.2">
      <c r="B1505" s="87" t="str">
        <v/>
      </c>
      <c r="G1505" s="87">
        <v>0</v>
      </c>
      <c r="H1505" s="87" t="str">
        <v/>
      </c>
    </row>
    <row r="1506" spans="2:8" x14ac:dyDescent="0.2">
      <c r="B1506" s="87" t="str">
        <v/>
      </c>
      <c r="G1506" s="87">
        <v>0</v>
      </c>
      <c r="H1506" s="87" t="str">
        <v/>
      </c>
    </row>
    <row r="1507" spans="2:8" x14ac:dyDescent="0.2">
      <c r="B1507" s="87" t="str">
        <v/>
      </c>
      <c r="G1507" s="87">
        <v>0</v>
      </c>
      <c r="H1507" s="87" t="str">
        <v/>
      </c>
    </row>
    <row r="1508" spans="2:8" x14ac:dyDescent="0.2">
      <c r="B1508" s="87" t="str">
        <v/>
      </c>
      <c r="G1508" s="87">
        <v>0</v>
      </c>
      <c r="H1508" s="87" t="str">
        <v/>
      </c>
    </row>
    <row r="1509" spans="2:8" x14ac:dyDescent="0.2">
      <c r="B1509" s="87" t="str">
        <v/>
      </c>
      <c r="G1509" s="87">
        <v>0</v>
      </c>
      <c r="H1509" s="87" t="str">
        <v/>
      </c>
    </row>
    <row r="1510" spans="2:8" x14ac:dyDescent="0.2">
      <c r="B1510" s="87" t="str">
        <v/>
      </c>
      <c r="G1510" s="87">
        <v>0</v>
      </c>
      <c r="H1510" s="87" t="str">
        <v/>
      </c>
    </row>
    <row r="1511" spans="2:8" x14ac:dyDescent="0.2">
      <c r="B1511" s="87" t="str">
        <v/>
      </c>
      <c r="G1511" s="87">
        <v>0</v>
      </c>
      <c r="H1511" s="87" t="str">
        <v/>
      </c>
    </row>
    <row r="1512" spans="2:8" x14ac:dyDescent="0.2">
      <c r="B1512" s="87" t="str">
        <v/>
      </c>
      <c r="G1512" s="87">
        <v>0</v>
      </c>
      <c r="H1512" s="87" t="str">
        <v/>
      </c>
    </row>
    <row r="1513" spans="2:8" x14ac:dyDescent="0.2">
      <c r="B1513" s="87" t="str">
        <v/>
      </c>
      <c r="G1513" s="87">
        <v>0</v>
      </c>
      <c r="H1513" s="87" t="str">
        <v/>
      </c>
    </row>
    <row r="1514" spans="2:8" x14ac:dyDescent="0.2">
      <c r="B1514" s="87" t="str">
        <v/>
      </c>
      <c r="G1514" s="87">
        <v>0</v>
      </c>
      <c r="H1514" s="87" t="str">
        <v/>
      </c>
    </row>
    <row r="1515" spans="2:8" x14ac:dyDescent="0.2">
      <c r="B1515" s="87" t="str">
        <v/>
      </c>
      <c r="G1515" s="87">
        <v>0</v>
      </c>
      <c r="H1515" s="87" t="str">
        <v/>
      </c>
    </row>
    <row r="1516" spans="2:8" x14ac:dyDescent="0.2">
      <c r="B1516" s="87" t="str">
        <v/>
      </c>
      <c r="G1516" s="87">
        <v>0</v>
      </c>
      <c r="H1516" s="87" t="str">
        <v/>
      </c>
    </row>
    <row r="1517" spans="2:8" x14ac:dyDescent="0.2">
      <c r="B1517" s="87" t="str">
        <v/>
      </c>
      <c r="G1517" s="87">
        <v>0</v>
      </c>
      <c r="H1517" s="87" t="str">
        <v/>
      </c>
    </row>
    <row r="1518" spans="2:8" x14ac:dyDescent="0.2">
      <c r="B1518" s="87" t="str">
        <v/>
      </c>
      <c r="G1518" s="87">
        <v>0</v>
      </c>
      <c r="H1518" s="87" t="str">
        <v/>
      </c>
    </row>
    <row r="1519" spans="2:8" x14ac:dyDescent="0.2">
      <c r="B1519" s="87" t="str">
        <v/>
      </c>
      <c r="G1519" s="87">
        <v>0</v>
      </c>
      <c r="H1519" s="87" t="str">
        <v/>
      </c>
    </row>
    <row r="1520" spans="2:8" x14ac:dyDescent="0.2">
      <c r="B1520" s="87" t="str">
        <v/>
      </c>
      <c r="G1520" s="87">
        <v>0</v>
      </c>
      <c r="H1520" s="87" t="str">
        <v/>
      </c>
    </row>
    <row r="1521" spans="2:8" x14ac:dyDescent="0.2">
      <c r="B1521" s="87" t="str">
        <v/>
      </c>
      <c r="G1521" s="87">
        <v>0</v>
      </c>
      <c r="H1521" s="87" t="str">
        <v/>
      </c>
    </row>
    <row r="1522" spans="2:8" x14ac:dyDescent="0.2">
      <c r="B1522" s="87" t="str">
        <v/>
      </c>
      <c r="G1522" s="87">
        <v>0</v>
      </c>
      <c r="H1522" s="87" t="str">
        <v/>
      </c>
    </row>
    <row r="1523" spans="2:8" x14ac:dyDescent="0.2">
      <c r="B1523" s="87" t="str">
        <v/>
      </c>
      <c r="G1523" s="87">
        <v>0</v>
      </c>
      <c r="H1523" s="87" t="str">
        <v/>
      </c>
    </row>
    <row r="1524" spans="2:8" x14ac:dyDescent="0.2">
      <c r="B1524" s="87" t="str">
        <v/>
      </c>
      <c r="G1524" s="87">
        <v>0</v>
      </c>
      <c r="H1524" s="87" t="str">
        <v/>
      </c>
    </row>
    <row r="1525" spans="2:8" x14ac:dyDescent="0.2">
      <c r="B1525" s="87" t="str">
        <v/>
      </c>
      <c r="G1525" s="87">
        <v>0</v>
      </c>
      <c r="H1525" s="87" t="str">
        <v/>
      </c>
    </row>
    <row r="1526" spans="2:8" x14ac:dyDescent="0.2">
      <c r="B1526" s="87" t="str">
        <v/>
      </c>
      <c r="G1526" s="87">
        <v>0</v>
      </c>
      <c r="H1526" s="87" t="str">
        <v/>
      </c>
    </row>
    <row r="1527" spans="2:8" x14ac:dyDescent="0.2">
      <c r="B1527" s="87" t="str">
        <v/>
      </c>
      <c r="G1527" s="87">
        <v>0</v>
      </c>
      <c r="H1527" s="87" t="str">
        <v/>
      </c>
    </row>
    <row r="1528" spans="2:8" x14ac:dyDescent="0.2">
      <c r="B1528" s="87" t="str">
        <v/>
      </c>
      <c r="G1528" s="87">
        <v>0</v>
      </c>
      <c r="H1528" s="87" t="str">
        <v/>
      </c>
    </row>
    <row r="1529" spans="2:8" x14ac:dyDescent="0.2">
      <c r="B1529" s="87" t="str">
        <v/>
      </c>
      <c r="G1529" s="87">
        <v>0</v>
      </c>
      <c r="H1529" s="87" t="str">
        <v/>
      </c>
    </row>
    <row r="1530" spans="2:8" x14ac:dyDescent="0.2">
      <c r="B1530" s="87" t="str">
        <v/>
      </c>
      <c r="G1530" s="87">
        <v>0</v>
      </c>
      <c r="H1530" s="87" t="str">
        <v/>
      </c>
    </row>
    <row r="1531" spans="2:8" x14ac:dyDescent="0.2">
      <c r="B1531" s="87" t="str">
        <v/>
      </c>
      <c r="G1531" s="87">
        <v>0</v>
      </c>
      <c r="H1531" s="87" t="str">
        <v/>
      </c>
    </row>
    <row r="1532" spans="2:8" x14ac:dyDescent="0.2">
      <c r="B1532" s="87" t="str">
        <v/>
      </c>
      <c r="G1532" s="87">
        <v>0</v>
      </c>
      <c r="H1532" s="87" t="str">
        <v/>
      </c>
    </row>
    <row r="1533" spans="2:8" x14ac:dyDescent="0.2">
      <c r="B1533" s="87" t="str">
        <v/>
      </c>
      <c r="G1533" s="87">
        <v>0</v>
      </c>
      <c r="H1533" s="87" t="str">
        <v/>
      </c>
    </row>
    <row r="1534" spans="2:8" x14ac:dyDescent="0.2">
      <c r="B1534" s="87" t="str">
        <v/>
      </c>
      <c r="G1534" s="87">
        <v>0</v>
      </c>
      <c r="H1534" s="87" t="str">
        <v/>
      </c>
    </row>
    <row r="1535" spans="2:8" x14ac:dyDescent="0.2">
      <c r="B1535" s="87" t="str">
        <v/>
      </c>
      <c r="G1535" s="87">
        <v>0</v>
      </c>
      <c r="H1535" s="87" t="str">
        <v/>
      </c>
    </row>
    <row r="1536" spans="2:8" x14ac:dyDescent="0.2">
      <c r="B1536" s="87" t="str">
        <v/>
      </c>
      <c r="G1536" s="87">
        <v>0</v>
      </c>
      <c r="H1536" s="87" t="str">
        <v/>
      </c>
    </row>
    <row r="1537" spans="2:8" x14ac:dyDescent="0.2">
      <c r="B1537" s="87" t="str">
        <v/>
      </c>
      <c r="G1537" s="87">
        <v>0</v>
      </c>
      <c r="H1537" s="87" t="str">
        <v/>
      </c>
    </row>
    <row r="1538" spans="2:8" x14ac:dyDescent="0.2">
      <c r="B1538" s="87" t="str">
        <v/>
      </c>
      <c r="G1538" s="87">
        <v>0</v>
      </c>
      <c r="H1538" s="87" t="str">
        <v/>
      </c>
    </row>
    <row r="1539" spans="2:8" x14ac:dyDescent="0.2">
      <c r="B1539" s="87" t="str">
        <v/>
      </c>
      <c r="G1539" s="87">
        <v>0</v>
      </c>
      <c r="H1539" s="87" t="str">
        <v/>
      </c>
    </row>
    <row r="1540" spans="2:8" x14ac:dyDescent="0.2">
      <c r="B1540" s="87" t="str">
        <v/>
      </c>
      <c r="G1540" s="87">
        <v>0</v>
      </c>
      <c r="H1540" s="87" t="str">
        <v/>
      </c>
    </row>
    <row r="1541" spans="2:8" x14ac:dyDescent="0.2">
      <c r="B1541" s="87" t="str">
        <v/>
      </c>
      <c r="G1541" s="87">
        <v>0</v>
      </c>
      <c r="H1541" s="87" t="str">
        <v/>
      </c>
    </row>
    <row r="1542" spans="2:8" x14ac:dyDescent="0.2">
      <c r="B1542" s="87" t="str">
        <v/>
      </c>
      <c r="G1542" s="87">
        <v>0</v>
      </c>
      <c r="H1542" s="87" t="str">
        <v/>
      </c>
    </row>
    <row r="1543" spans="2:8" x14ac:dyDescent="0.2">
      <c r="B1543" s="87" t="str">
        <v/>
      </c>
      <c r="G1543" s="87">
        <v>0</v>
      </c>
      <c r="H1543" s="87" t="str">
        <v/>
      </c>
    </row>
    <row r="1544" spans="2:8" x14ac:dyDescent="0.2">
      <c r="B1544" s="87" t="str">
        <v/>
      </c>
      <c r="G1544" s="87">
        <v>0</v>
      </c>
      <c r="H1544" s="87" t="str">
        <v/>
      </c>
    </row>
    <row r="1545" spans="2:8" x14ac:dyDescent="0.2">
      <c r="B1545" s="87" t="str">
        <v/>
      </c>
      <c r="G1545" s="87">
        <v>0</v>
      </c>
      <c r="H1545" s="87" t="str">
        <v/>
      </c>
    </row>
    <row r="1546" spans="2:8" x14ac:dyDescent="0.2">
      <c r="B1546" s="87" t="str">
        <v/>
      </c>
      <c r="G1546" s="87">
        <v>0</v>
      </c>
      <c r="H1546" s="87" t="str">
        <v/>
      </c>
    </row>
    <row r="1547" spans="2:8" x14ac:dyDescent="0.2">
      <c r="B1547" s="87" t="str">
        <v/>
      </c>
      <c r="G1547" s="87">
        <v>0</v>
      </c>
      <c r="H1547" s="87" t="str">
        <v/>
      </c>
    </row>
    <row r="1548" spans="2:8" x14ac:dyDescent="0.2">
      <c r="B1548" s="87" t="str">
        <v/>
      </c>
      <c r="G1548" s="87">
        <v>0</v>
      </c>
      <c r="H1548" s="87" t="str">
        <v/>
      </c>
    </row>
    <row r="1549" spans="2:8" x14ac:dyDescent="0.2">
      <c r="B1549" s="87" t="str">
        <v/>
      </c>
      <c r="G1549" s="87">
        <v>0</v>
      </c>
      <c r="H1549" s="87" t="str">
        <v/>
      </c>
    </row>
    <row r="1550" spans="2:8" x14ac:dyDescent="0.2">
      <c r="B1550" s="87" t="str">
        <v/>
      </c>
      <c r="G1550" s="87">
        <v>0</v>
      </c>
      <c r="H1550" s="87" t="str">
        <v/>
      </c>
    </row>
    <row r="1551" spans="2:8" x14ac:dyDescent="0.2">
      <c r="B1551" s="87" t="str">
        <v/>
      </c>
      <c r="G1551" s="87">
        <v>0</v>
      </c>
      <c r="H1551" s="87" t="str">
        <v/>
      </c>
    </row>
    <row r="1552" spans="2:8" x14ac:dyDescent="0.2">
      <c r="B1552" s="87" t="str">
        <v/>
      </c>
      <c r="G1552" s="87">
        <v>0</v>
      </c>
      <c r="H1552" s="87" t="str">
        <v/>
      </c>
    </row>
    <row r="1553" spans="2:8" x14ac:dyDescent="0.2">
      <c r="B1553" s="87" t="str">
        <v/>
      </c>
      <c r="G1553" s="87">
        <v>0</v>
      </c>
      <c r="H1553" s="87" t="str">
        <v/>
      </c>
    </row>
    <row r="1554" spans="2:8" x14ac:dyDescent="0.2">
      <c r="B1554" s="87" t="str">
        <v/>
      </c>
      <c r="G1554" s="87">
        <v>0</v>
      </c>
      <c r="H1554" s="87" t="str">
        <v/>
      </c>
    </row>
    <row r="1555" spans="2:8" x14ac:dyDescent="0.2">
      <c r="B1555" s="87" t="str">
        <v/>
      </c>
      <c r="G1555" s="87">
        <v>0</v>
      </c>
      <c r="H1555" s="87" t="str">
        <v/>
      </c>
    </row>
    <row r="1556" spans="2:8" x14ac:dyDescent="0.2">
      <c r="B1556" s="87" t="str">
        <v/>
      </c>
      <c r="G1556" s="87">
        <v>0</v>
      </c>
      <c r="H1556" s="87" t="str">
        <v/>
      </c>
    </row>
    <row r="1557" spans="2:8" x14ac:dyDescent="0.2">
      <c r="B1557" s="87" t="str">
        <v/>
      </c>
      <c r="G1557" s="87">
        <v>0</v>
      </c>
      <c r="H1557" s="87" t="str">
        <v/>
      </c>
    </row>
    <row r="1558" spans="2:8" x14ac:dyDescent="0.2">
      <c r="B1558" s="87" t="str">
        <v/>
      </c>
      <c r="G1558" s="87">
        <v>0</v>
      </c>
      <c r="H1558" s="87" t="str">
        <v/>
      </c>
    </row>
    <row r="1559" spans="2:8" x14ac:dyDescent="0.2">
      <c r="B1559" s="87" t="str">
        <v/>
      </c>
      <c r="G1559" s="87">
        <v>0</v>
      </c>
      <c r="H1559" s="87" t="str">
        <v/>
      </c>
    </row>
    <row r="1560" spans="2:8" x14ac:dyDescent="0.2">
      <c r="B1560" s="87" t="str">
        <v/>
      </c>
      <c r="G1560" s="87">
        <v>0</v>
      </c>
      <c r="H1560" s="87" t="str">
        <v/>
      </c>
    </row>
    <row r="1561" spans="2:8" x14ac:dyDescent="0.2">
      <c r="B1561" s="87" t="str">
        <v/>
      </c>
      <c r="G1561" s="87">
        <v>0</v>
      </c>
      <c r="H1561" s="87" t="str">
        <v/>
      </c>
    </row>
    <row r="1562" spans="2:8" x14ac:dyDescent="0.2">
      <c r="B1562" s="87" t="str">
        <v/>
      </c>
      <c r="G1562" s="87">
        <v>0</v>
      </c>
      <c r="H1562" s="87" t="str">
        <v/>
      </c>
    </row>
    <row r="1563" spans="2:8" x14ac:dyDescent="0.2">
      <c r="B1563" s="87" t="str">
        <v/>
      </c>
      <c r="G1563" s="87">
        <v>0</v>
      </c>
      <c r="H1563" s="87" t="str">
        <v/>
      </c>
    </row>
    <row r="1564" spans="2:8" x14ac:dyDescent="0.2">
      <c r="B1564" s="87" t="str">
        <v/>
      </c>
      <c r="G1564" s="87">
        <v>0</v>
      </c>
      <c r="H1564" s="87" t="str">
        <v/>
      </c>
    </row>
    <row r="1565" spans="2:8" x14ac:dyDescent="0.2">
      <c r="B1565" s="87" t="str">
        <v/>
      </c>
      <c r="G1565" s="87">
        <v>0</v>
      </c>
      <c r="H1565" s="87" t="str">
        <v/>
      </c>
    </row>
    <row r="1566" spans="2:8" x14ac:dyDescent="0.2">
      <c r="B1566" s="87" t="str">
        <v/>
      </c>
      <c r="G1566" s="87">
        <v>0</v>
      </c>
      <c r="H1566" s="87" t="str">
        <v/>
      </c>
    </row>
    <row r="1567" spans="2:8" x14ac:dyDescent="0.2">
      <c r="B1567" s="87" t="str">
        <v/>
      </c>
      <c r="G1567" s="87">
        <v>0</v>
      </c>
      <c r="H1567" s="87" t="str">
        <v/>
      </c>
    </row>
    <row r="1568" spans="2:8" x14ac:dyDescent="0.2">
      <c r="B1568" s="87" t="str">
        <v/>
      </c>
      <c r="G1568" s="87">
        <v>0</v>
      </c>
      <c r="H1568" s="87" t="str">
        <v/>
      </c>
    </row>
    <row r="1569" spans="2:8" x14ac:dyDescent="0.2">
      <c r="B1569" s="87" t="str">
        <v/>
      </c>
      <c r="G1569" s="87">
        <v>0</v>
      </c>
      <c r="H1569" s="87" t="str">
        <v/>
      </c>
    </row>
    <row r="1570" spans="2:8" x14ac:dyDescent="0.2">
      <c r="B1570" s="87" t="str">
        <v/>
      </c>
      <c r="G1570" s="87">
        <v>0</v>
      </c>
      <c r="H1570" s="87" t="str">
        <v/>
      </c>
    </row>
    <row r="1571" spans="2:8" x14ac:dyDescent="0.2">
      <c r="B1571" s="87" t="str">
        <v/>
      </c>
      <c r="G1571" s="87">
        <v>0</v>
      </c>
      <c r="H1571" s="87" t="str">
        <v/>
      </c>
    </row>
    <row r="1572" spans="2:8" x14ac:dyDescent="0.2">
      <c r="B1572" s="87" t="str">
        <v/>
      </c>
      <c r="G1572" s="87">
        <v>0</v>
      </c>
      <c r="H1572" s="87" t="str">
        <v/>
      </c>
    </row>
    <row r="1573" spans="2:8" x14ac:dyDescent="0.2">
      <c r="B1573" s="87" t="str">
        <v/>
      </c>
      <c r="G1573" s="87">
        <v>0</v>
      </c>
      <c r="H1573" s="87" t="str">
        <v/>
      </c>
    </row>
    <row r="1574" spans="2:8" x14ac:dyDescent="0.2">
      <c r="B1574" s="87" t="str">
        <v/>
      </c>
      <c r="G1574" s="87">
        <v>0</v>
      </c>
      <c r="H1574" s="87" t="str">
        <v/>
      </c>
    </row>
    <row r="1575" spans="2:8" x14ac:dyDescent="0.2">
      <c r="B1575" s="87" t="str">
        <v/>
      </c>
      <c r="G1575" s="87">
        <v>0</v>
      </c>
      <c r="H1575" s="87" t="str">
        <v/>
      </c>
    </row>
    <row r="1576" spans="2:8" x14ac:dyDescent="0.2">
      <c r="B1576" s="87" t="str">
        <v/>
      </c>
      <c r="G1576" s="87">
        <v>0</v>
      </c>
      <c r="H1576" s="87" t="str">
        <v/>
      </c>
    </row>
    <row r="1577" spans="2:8" x14ac:dyDescent="0.2">
      <c r="B1577" s="87" t="str">
        <v/>
      </c>
      <c r="G1577" s="87">
        <v>0</v>
      </c>
      <c r="H1577" s="87" t="str">
        <v/>
      </c>
    </row>
    <row r="1578" spans="2:8" x14ac:dyDescent="0.2">
      <c r="B1578" s="87" t="str">
        <v/>
      </c>
      <c r="G1578" s="87">
        <v>0</v>
      </c>
      <c r="H1578" s="87" t="str">
        <v/>
      </c>
    </row>
    <row r="1579" spans="2:8" x14ac:dyDescent="0.2">
      <c r="B1579" s="87" t="str">
        <v/>
      </c>
      <c r="G1579" s="87">
        <v>0</v>
      </c>
      <c r="H1579" s="87" t="str">
        <v/>
      </c>
    </row>
    <row r="1580" spans="2:8" x14ac:dyDescent="0.2">
      <c r="B1580" s="87" t="str">
        <v/>
      </c>
      <c r="G1580" s="87">
        <v>0</v>
      </c>
      <c r="H1580" s="87" t="str">
        <v/>
      </c>
    </row>
    <row r="1581" spans="2:8" x14ac:dyDescent="0.2">
      <c r="B1581" s="87" t="str">
        <v/>
      </c>
      <c r="G1581" s="87">
        <v>0</v>
      </c>
      <c r="H1581" s="87" t="str">
        <v/>
      </c>
    </row>
    <row r="1582" spans="2:8" x14ac:dyDescent="0.2">
      <c r="B1582" s="87" t="str">
        <v/>
      </c>
      <c r="G1582" s="87">
        <v>0</v>
      </c>
      <c r="H1582" s="87" t="str">
        <v/>
      </c>
    </row>
    <row r="1583" spans="2:8" x14ac:dyDescent="0.2">
      <c r="B1583" s="87" t="str">
        <v/>
      </c>
      <c r="G1583" s="87">
        <v>0</v>
      </c>
      <c r="H1583" s="87" t="str">
        <v/>
      </c>
    </row>
    <row r="1584" spans="2:8" x14ac:dyDescent="0.2">
      <c r="B1584" s="87" t="str">
        <v/>
      </c>
      <c r="G1584" s="87">
        <v>0</v>
      </c>
      <c r="H1584" s="87" t="str">
        <v/>
      </c>
    </row>
    <row r="1585" spans="2:8" x14ac:dyDescent="0.2">
      <c r="B1585" s="87" t="str">
        <v/>
      </c>
      <c r="G1585" s="87">
        <v>0</v>
      </c>
      <c r="H1585" s="87" t="str">
        <v/>
      </c>
    </row>
    <row r="1586" spans="2:8" x14ac:dyDescent="0.2">
      <c r="B1586" s="87" t="str">
        <v/>
      </c>
      <c r="G1586" s="87">
        <v>0</v>
      </c>
      <c r="H1586" s="87" t="str">
        <v/>
      </c>
    </row>
    <row r="1587" spans="2:8" x14ac:dyDescent="0.2">
      <c r="B1587" s="87" t="str">
        <v/>
      </c>
      <c r="G1587" s="87">
        <v>0</v>
      </c>
      <c r="H1587" s="87" t="str">
        <v/>
      </c>
    </row>
    <row r="1588" spans="2:8" x14ac:dyDescent="0.2">
      <c r="B1588" s="87" t="str">
        <v/>
      </c>
      <c r="G1588" s="87">
        <v>0</v>
      </c>
      <c r="H1588" s="87" t="str">
        <v/>
      </c>
    </row>
    <row r="1589" spans="2:8" x14ac:dyDescent="0.2">
      <c r="B1589" s="87" t="str">
        <v/>
      </c>
      <c r="G1589" s="87">
        <v>0</v>
      </c>
      <c r="H1589" s="87" t="str">
        <v/>
      </c>
    </row>
    <row r="1590" spans="2:8" x14ac:dyDescent="0.2">
      <c r="B1590" s="87" t="str">
        <v/>
      </c>
      <c r="G1590" s="87">
        <v>0</v>
      </c>
      <c r="H1590" s="87" t="str">
        <v/>
      </c>
    </row>
    <row r="1591" spans="2:8" x14ac:dyDescent="0.2">
      <c r="B1591" s="87" t="str">
        <v/>
      </c>
      <c r="G1591" s="87">
        <v>0</v>
      </c>
      <c r="H1591" s="87" t="str">
        <v/>
      </c>
    </row>
    <row r="1592" spans="2:8" x14ac:dyDescent="0.2">
      <c r="B1592" s="87" t="str">
        <v/>
      </c>
      <c r="G1592" s="87">
        <v>0</v>
      </c>
      <c r="H1592" s="87" t="str">
        <v/>
      </c>
    </row>
    <row r="1593" spans="2:8" x14ac:dyDescent="0.2">
      <c r="B1593" s="87" t="str">
        <v/>
      </c>
      <c r="G1593" s="87">
        <v>0</v>
      </c>
      <c r="H1593" s="87" t="str">
        <v/>
      </c>
    </row>
    <row r="1594" spans="2:8" x14ac:dyDescent="0.2">
      <c r="B1594" s="87" t="str">
        <v/>
      </c>
      <c r="G1594" s="87">
        <v>0</v>
      </c>
      <c r="H1594" s="87" t="str">
        <v/>
      </c>
    </row>
    <row r="1595" spans="2:8" x14ac:dyDescent="0.2">
      <c r="B1595" s="87" t="str">
        <v/>
      </c>
      <c r="G1595" s="87">
        <v>0</v>
      </c>
      <c r="H1595" s="87" t="str">
        <v/>
      </c>
    </row>
    <row r="1596" spans="2:8" x14ac:dyDescent="0.2">
      <c r="B1596" s="87" t="str">
        <v/>
      </c>
      <c r="G1596" s="87">
        <v>0</v>
      </c>
      <c r="H1596" s="87" t="str">
        <v/>
      </c>
    </row>
    <row r="1597" spans="2:8" x14ac:dyDescent="0.2">
      <c r="B1597" s="87" t="str">
        <v/>
      </c>
      <c r="G1597" s="87">
        <v>0</v>
      </c>
      <c r="H1597" s="87" t="str">
        <v/>
      </c>
    </row>
    <row r="1598" spans="2:8" x14ac:dyDescent="0.2">
      <c r="B1598" s="87" t="str">
        <v/>
      </c>
      <c r="G1598" s="87">
        <v>0</v>
      </c>
      <c r="H1598" s="87" t="str">
        <v/>
      </c>
    </row>
    <row r="1599" spans="2:8" x14ac:dyDescent="0.2">
      <c r="B1599" s="87" t="str">
        <v/>
      </c>
      <c r="G1599" s="87">
        <v>0</v>
      </c>
      <c r="H1599" s="87" t="str">
        <v/>
      </c>
    </row>
    <row r="1600" spans="2:8" x14ac:dyDescent="0.2">
      <c r="B1600" s="87" t="str">
        <v/>
      </c>
      <c r="G1600" s="87">
        <v>0</v>
      </c>
      <c r="H1600" s="87" t="str">
        <v/>
      </c>
    </row>
    <row r="1601" spans="2:8" x14ac:dyDescent="0.2">
      <c r="B1601" s="87" t="str">
        <v/>
      </c>
      <c r="G1601" s="87">
        <v>0</v>
      </c>
      <c r="H1601" s="87" t="str">
        <v/>
      </c>
    </row>
    <row r="1602" spans="2:8" x14ac:dyDescent="0.2">
      <c r="B1602" s="87" t="str">
        <v/>
      </c>
      <c r="G1602" s="87">
        <v>0</v>
      </c>
      <c r="H1602" s="87" t="str">
        <v/>
      </c>
    </row>
    <row r="1603" spans="2:8" x14ac:dyDescent="0.2">
      <c r="B1603" s="87" t="str">
        <v/>
      </c>
      <c r="G1603" s="87">
        <v>0</v>
      </c>
      <c r="H1603" s="87" t="str">
        <v/>
      </c>
    </row>
    <row r="1604" spans="2:8" x14ac:dyDescent="0.2">
      <c r="B1604" s="87" t="str">
        <v/>
      </c>
      <c r="G1604" s="87">
        <v>0</v>
      </c>
      <c r="H1604" s="87" t="str">
        <v/>
      </c>
    </row>
    <row r="1605" spans="2:8" x14ac:dyDescent="0.2">
      <c r="B1605" s="87" t="str">
        <v/>
      </c>
      <c r="G1605" s="87">
        <v>0</v>
      </c>
      <c r="H1605" s="87" t="str">
        <v/>
      </c>
    </row>
    <row r="1606" spans="2:8" x14ac:dyDescent="0.2">
      <c r="B1606" s="87" t="str">
        <v/>
      </c>
      <c r="G1606" s="87">
        <v>0</v>
      </c>
      <c r="H1606" s="87" t="str">
        <v/>
      </c>
    </row>
    <row r="1607" spans="2:8" x14ac:dyDescent="0.2">
      <c r="B1607" s="87" t="str">
        <v/>
      </c>
      <c r="G1607" s="87">
        <v>0</v>
      </c>
      <c r="H1607" s="87" t="str">
        <v/>
      </c>
    </row>
    <row r="1608" spans="2:8" x14ac:dyDescent="0.2">
      <c r="B1608" s="87" t="str">
        <v/>
      </c>
      <c r="G1608" s="87">
        <v>0</v>
      </c>
      <c r="H1608" s="87" t="str">
        <v/>
      </c>
    </row>
    <row r="1609" spans="2:8" x14ac:dyDescent="0.2">
      <c r="B1609" s="87" t="str">
        <v/>
      </c>
      <c r="G1609" s="87">
        <v>0</v>
      </c>
      <c r="H1609" s="87" t="str">
        <v/>
      </c>
    </row>
    <row r="1610" spans="2:8" x14ac:dyDescent="0.2">
      <c r="B1610" s="87" t="str">
        <v/>
      </c>
      <c r="G1610" s="87">
        <v>0</v>
      </c>
      <c r="H1610" s="87" t="str">
        <v/>
      </c>
    </row>
    <row r="1611" spans="2:8" x14ac:dyDescent="0.2">
      <c r="B1611" s="87" t="str">
        <v/>
      </c>
      <c r="G1611" s="87">
        <v>0</v>
      </c>
      <c r="H1611" s="87" t="str">
        <v/>
      </c>
    </row>
    <row r="1612" spans="2:8" x14ac:dyDescent="0.2">
      <c r="B1612" s="87" t="str">
        <v/>
      </c>
      <c r="G1612" s="87">
        <v>0</v>
      </c>
      <c r="H1612" s="87" t="str">
        <v/>
      </c>
    </row>
    <row r="1613" spans="2:8" x14ac:dyDescent="0.2">
      <c r="B1613" s="87" t="str">
        <v/>
      </c>
      <c r="G1613" s="87">
        <v>0</v>
      </c>
      <c r="H1613" s="87" t="str">
        <v/>
      </c>
    </row>
    <row r="1614" spans="2:8" x14ac:dyDescent="0.2">
      <c r="B1614" s="87" t="str">
        <v/>
      </c>
      <c r="G1614" s="87">
        <v>0</v>
      </c>
      <c r="H1614" s="87" t="str">
        <v/>
      </c>
    </row>
    <row r="1615" spans="2:8" x14ac:dyDescent="0.2">
      <c r="B1615" s="87" t="str">
        <v/>
      </c>
      <c r="G1615" s="87">
        <v>0</v>
      </c>
      <c r="H1615" s="87" t="str">
        <v/>
      </c>
    </row>
    <row r="1616" spans="2:8" x14ac:dyDescent="0.2">
      <c r="B1616" s="87" t="str">
        <v/>
      </c>
      <c r="G1616" s="87">
        <v>0</v>
      </c>
      <c r="H1616" s="87" t="str">
        <v/>
      </c>
    </row>
    <row r="1617" spans="2:8" x14ac:dyDescent="0.2">
      <c r="B1617" s="87" t="str">
        <v/>
      </c>
      <c r="G1617" s="87">
        <v>0</v>
      </c>
      <c r="H1617" s="87" t="str">
        <v/>
      </c>
    </row>
    <row r="1618" spans="2:8" x14ac:dyDescent="0.2">
      <c r="B1618" s="87" t="str">
        <v/>
      </c>
      <c r="G1618" s="87">
        <v>0</v>
      </c>
      <c r="H1618" s="87" t="str">
        <v/>
      </c>
    </row>
    <row r="1619" spans="2:8" x14ac:dyDescent="0.2">
      <c r="B1619" s="87" t="str">
        <v/>
      </c>
      <c r="G1619" s="87">
        <v>0</v>
      </c>
      <c r="H1619" s="87" t="str">
        <v/>
      </c>
    </row>
    <row r="1620" spans="2:8" x14ac:dyDescent="0.2">
      <c r="B1620" s="87" t="str">
        <v/>
      </c>
      <c r="G1620" s="87">
        <v>0</v>
      </c>
      <c r="H1620" s="87" t="str">
        <v/>
      </c>
    </row>
    <row r="1621" spans="2:8" x14ac:dyDescent="0.2">
      <c r="B1621" s="87" t="str">
        <v/>
      </c>
      <c r="G1621" s="87">
        <v>0</v>
      </c>
      <c r="H1621" s="87" t="str">
        <v/>
      </c>
    </row>
    <row r="1622" spans="2:8" x14ac:dyDescent="0.2">
      <c r="B1622" s="87" t="str">
        <v/>
      </c>
      <c r="G1622" s="87">
        <v>0</v>
      </c>
      <c r="H1622" s="87" t="str">
        <v/>
      </c>
    </row>
    <row r="1623" spans="2:8" x14ac:dyDescent="0.2">
      <c r="B1623" s="87" t="str">
        <v/>
      </c>
      <c r="G1623" s="87">
        <v>0</v>
      </c>
      <c r="H1623" s="87" t="str">
        <v/>
      </c>
    </row>
    <row r="1624" spans="2:8" x14ac:dyDescent="0.2">
      <c r="B1624" s="87" t="str">
        <v/>
      </c>
      <c r="G1624" s="87">
        <v>0</v>
      </c>
      <c r="H1624" s="87" t="str">
        <v/>
      </c>
    </row>
    <row r="1625" spans="2:8" x14ac:dyDescent="0.2">
      <c r="B1625" s="87" t="str">
        <v/>
      </c>
      <c r="G1625" s="87">
        <v>0</v>
      </c>
      <c r="H1625" s="87" t="str">
        <v/>
      </c>
    </row>
    <row r="1626" spans="2:8" x14ac:dyDescent="0.2">
      <c r="B1626" s="87" t="str">
        <v/>
      </c>
      <c r="G1626" s="87">
        <v>0</v>
      </c>
      <c r="H1626" s="87" t="str">
        <v/>
      </c>
    </row>
    <row r="1627" spans="2:8" x14ac:dyDescent="0.2">
      <c r="B1627" s="87" t="str">
        <v/>
      </c>
      <c r="G1627" s="87">
        <v>0</v>
      </c>
      <c r="H1627" s="87" t="str">
        <v/>
      </c>
    </row>
    <row r="1628" spans="2:8" x14ac:dyDescent="0.2">
      <c r="B1628" s="87" t="str">
        <v/>
      </c>
      <c r="G1628" s="87">
        <v>0</v>
      </c>
      <c r="H1628" s="87" t="str">
        <v/>
      </c>
    </row>
    <row r="1629" spans="2:8" x14ac:dyDescent="0.2">
      <c r="B1629" s="87" t="str">
        <v/>
      </c>
      <c r="G1629" s="87">
        <v>0</v>
      </c>
      <c r="H1629" s="87" t="str">
        <v/>
      </c>
    </row>
    <row r="1630" spans="2:8" x14ac:dyDescent="0.2">
      <c r="B1630" s="87" t="str">
        <v/>
      </c>
      <c r="G1630" s="87">
        <v>0</v>
      </c>
      <c r="H1630" s="87" t="str">
        <v/>
      </c>
    </row>
    <row r="1631" spans="2:8" x14ac:dyDescent="0.2">
      <c r="B1631" s="87" t="str">
        <v/>
      </c>
      <c r="G1631" s="87">
        <v>0</v>
      </c>
      <c r="H1631" s="87" t="str">
        <v/>
      </c>
    </row>
    <row r="1632" spans="2:8" x14ac:dyDescent="0.2">
      <c r="B1632" s="87" t="str">
        <v/>
      </c>
      <c r="G1632" s="87">
        <v>0</v>
      </c>
      <c r="H1632" s="87" t="str">
        <v/>
      </c>
    </row>
    <row r="1633" spans="2:8" x14ac:dyDescent="0.2">
      <c r="B1633" s="87" t="str">
        <v/>
      </c>
      <c r="G1633" s="87">
        <v>0</v>
      </c>
      <c r="H1633" s="87" t="str">
        <v/>
      </c>
    </row>
    <row r="1634" spans="2:8" x14ac:dyDescent="0.2">
      <c r="B1634" s="87" t="str">
        <v/>
      </c>
      <c r="G1634" s="87">
        <v>0</v>
      </c>
      <c r="H1634" s="87" t="str">
        <v/>
      </c>
    </row>
    <row r="1635" spans="2:8" x14ac:dyDescent="0.2">
      <c r="B1635" s="87" t="str">
        <v/>
      </c>
      <c r="G1635" s="87">
        <v>0</v>
      </c>
      <c r="H1635" s="87" t="str">
        <v/>
      </c>
    </row>
    <row r="1636" spans="2:8" x14ac:dyDescent="0.2">
      <c r="B1636" s="87" t="str">
        <v/>
      </c>
      <c r="G1636" s="87">
        <v>0</v>
      </c>
      <c r="H1636" s="87" t="str">
        <v/>
      </c>
    </row>
    <row r="1637" spans="2:8" x14ac:dyDescent="0.2">
      <c r="B1637" s="87" t="str">
        <v/>
      </c>
      <c r="G1637" s="87">
        <v>0</v>
      </c>
      <c r="H1637" s="87" t="str">
        <v/>
      </c>
    </row>
    <row r="1638" spans="2:8" x14ac:dyDescent="0.2">
      <c r="B1638" s="87" t="str">
        <v/>
      </c>
      <c r="G1638" s="87">
        <v>0</v>
      </c>
      <c r="H1638" s="87" t="str">
        <v/>
      </c>
    </row>
    <row r="1639" spans="2:8" x14ac:dyDescent="0.2">
      <c r="B1639" s="87" t="str">
        <v/>
      </c>
      <c r="G1639" s="87">
        <v>0</v>
      </c>
      <c r="H1639" s="87" t="str">
        <v/>
      </c>
    </row>
    <row r="1640" spans="2:8" x14ac:dyDescent="0.2">
      <c r="B1640" s="87" t="str">
        <v/>
      </c>
      <c r="G1640" s="87">
        <v>0</v>
      </c>
      <c r="H1640" s="87" t="str">
        <v/>
      </c>
    </row>
    <row r="1641" spans="2:8" x14ac:dyDescent="0.2">
      <c r="B1641" s="87" t="str">
        <v/>
      </c>
      <c r="G1641" s="87">
        <v>0</v>
      </c>
      <c r="H1641" s="87" t="str">
        <v/>
      </c>
    </row>
    <row r="1642" spans="2:8" x14ac:dyDescent="0.2">
      <c r="B1642" s="87" t="str">
        <v/>
      </c>
      <c r="G1642" s="87">
        <v>0</v>
      </c>
      <c r="H1642" s="87" t="str">
        <v/>
      </c>
    </row>
    <row r="1643" spans="2:8" x14ac:dyDescent="0.2">
      <c r="B1643" s="87" t="str">
        <v/>
      </c>
      <c r="G1643" s="87">
        <v>0</v>
      </c>
      <c r="H1643" s="87" t="str">
        <v/>
      </c>
    </row>
    <row r="1644" spans="2:8" x14ac:dyDescent="0.2">
      <c r="B1644" s="87" t="str">
        <v/>
      </c>
      <c r="G1644" s="87">
        <v>0</v>
      </c>
      <c r="H1644" s="87" t="str">
        <v/>
      </c>
    </row>
    <row r="1645" spans="2:8" x14ac:dyDescent="0.2">
      <c r="B1645" s="87" t="str">
        <v/>
      </c>
      <c r="G1645" s="87">
        <v>0</v>
      </c>
      <c r="H1645" s="87" t="str">
        <v/>
      </c>
    </row>
    <row r="1646" spans="2:8" x14ac:dyDescent="0.2">
      <c r="B1646" s="87" t="str">
        <v/>
      </c>
      <c r="G1646" s="87">
        <v>0</v>
      </c>
      <c r="H1646" s="87" t="str">
        <v/>
      </c>
    </row>
    <row r="1647" spans="2:8" x14ac:dyDescent="0.2">
      <c r="B1647" s="87" t="str">
        <v/>
      </c>
      <c r="G1647" s="87">
        <v>0</v>
      </c>
      <c r="H1647" s="87" t="str">
        <v/>
      </c>
    </row>
    <row r="1648" spans="2:8" x14ac:dyDescent="0.2">
      <c r="B1648" s="87" t="str">
        <v/>
      </c>
      <c r="G1648" s="87">
        <v>0</v>
      </c>
      <c r="H1648" s="87" t="str">
        <v/>
      </c>
    </row>
    <row r="1649" spans="2:8" x14ac:dyDescent="0.2">
      <c r="B1649" s="87" t="str">
        <v/>
      </c>
      <c r="G1649" s="87">
        <v>0</v>
      </c>
      <c r="H1649" s="87" t="str">
        <v/>
      </c>
    </row>
    <row r="1650" spans="2:8" x14ac:dyDescent="0.2">
      <c r="B1650" s="87" t="str">
        <v/>
      </c>
      <c r="G1650" s="87">
        <v>0</v>
      </c>
      <c r="H1650" s="87" t="str">
        <v/>
      </c>
    </row>
    <row r="1651" spans="2:8" x14ac:dyDescent="0.2">
      <c r="B1651" s="87" t="str">
        <v/>
      </c>
      <c r="G1651" s="87">
        <v>0</v>
      </c>
      <c r="H1651" s="87" t="str">
        <v/>
      </c>
    </row>
    <row r="1652" spans="2:8" x14ac:dyDescent="0.2">
      <c r="B1652" s="87" t="str">
        <v/>
      </c>
      <c r="G1652" s="87">
        <v>0</v>
      </c>
      <c r="H1652" s="87" t="str">
        <v/>
      </c>
    </row>
    <row r="1653" spans="2:8" x14ac:dyDescent="0.2">
      <c r="B1653" s="87" t="str">
        <v/>
      </c>
      <c r="G1653" s="87">
        <v>0</v>
      </c>
      <c r="H1653" s="87" t="str">
        <v/>
      </c>
    </row>
    <row r="1654" spans="2:8" x14ac:dyDescent="0.2">
      <c r="B1654" s="87" t="str">
        <v/>
      </c>
      <c r="G1654" s="87">
        <v>0</v>
      </c>
      <c r="H1654" s="87" t="str">
        <v/>
      </c>
    </row>
    <row r="1655" spans="2:8" x14ac:dyDescent="0.2">
      <c r="B1655" s="87" t="str">
        <v/>
      </c>
      <c r="G1655" s="87">
        <v>0</v>
      </c>
      <c r="H1655" s="87" t="str">
        <v/>
      </c>
    </row>
    <row r="1656" spans="2:8" x14ac:dyDescent="0.2">
      <c r="B1656" s="87" t="str">
        <v/>
      </c>
      <c r="G1656" s="87">
        <v>0</v>
      </c>
      <c r="H1656" s="87" t="str">
        <v/>
      </c>
    </row>
    <row r="1657" spans="2:8" x14ac:dyDescent="0.2">
      <c r="B1657" s="87" t="str">
        <v/>
      </c>
      <c r="G1657" s="87">
        <v>0</v>
      </c>
      <c r="H1657" s="87" t="str">
        <v/>
      </c>
    </row>
    <row r="1658" spans="2:8" x14ac:dyDescent="0.2">
      <c r="B1658" s="87" t="str">
        <v/>
      </c>
      <c r="G1658" s="87">
        <v>0</v>
      </c>
      <c r="H1658" s="87" t="str">
        <v/>
      </c>
    </row>
    <row r="1659" spans="2:8" x14ac:dyDescent="0.2">
      <c r="B1659" s="87" t="str">
        <v/>
      </c>
      <c r="G1659" s="87">
        <v>0</v>
      </c>
      <c r="H1659" s="87" t="str">
        <v/>
      </c>
    </row>
    <row r="1660" spans="2:8" x14ac:dyDescent="0.2">
      <c r="B1660" s="87" t="str">
        <v/>
      </c>
      <c r="G1660" s="87">
        <v>0</v>
      </c>
      <c r="H1660" s="87" t="str">
        <v/>
      </c>
    </row>
    <row r="1661" spans="2:8" x14ac:dyDescent="0.2">
      <c r="B1661" s="87" t="str">
        <v/>
      </c>
      <c r="G1661" s="87">
        <v>0</v>
      </c>
      <c r="H1661" s="87" t="str">
        <v/>
      </c>
    </row>
    <row r="1662" spans="2:8" x14ac:dyDescent="0.2">
      <c r="B1662" s="87" t="str">
        <v/>
      </c>
      <c r="G1662" s="87">
        <v>0</v>
      </c>
      <c r="H1662" s="87" t="str">
        <v/>
      </c>
    </row>
    <row r="1663" spans="2:8" x14ac:dyDescent="0.2">
      <c r="B1663" s="87" t="str">
        <v/>
      </c>
      <c r="G1663" s="87">
        <v>0</v>
      </c>
      <c r="H1663" s="87" t="str">
        <v/>
      </c>
    </row>
    <row r="1664" spans="2:8" x14ac:dyDescent="0.2">
      <c r="B1664" s="87" t="str">
        <v/>
      </c>
      <c r="G1664" s="87">
        <v>0</v>
      </c>
      <c r="H1664" s="87" t="str">
        <v/>
      </c>
    </row>
    <row r="1665" spans="2:8" x14ac:dyDescent="0.2">
      <c r="B1665" s="87" t="str">
        <v/>
      </c>
      <c r="G1665" s="87">
        <v>0</v>
      </c>
      <c r="H1665" s="87" t="str">
        <v/>
      </c>
    </row>
    <row r="1666" spans="2:8" x14ac:dyDescent="0.2">
      <c r="B1666" s="87" t="str">
        <v/>
      </c>
      <c r="G1666" s="87">
        <v>0</v>
      </c>
      <c r="H1666" s="87" t="str">
        <v/>
      </c>
    </row>
    <row r="1667" spans="2:8" x14ac:dyDescent="0.2">
      <c r="B1667" s="87" t="str">
        <v/>
      </c>
      <c r="G1667" s="87">
        <v>0</v>
      </c>
      <c r="H1667" s="87" t="str">
        <v/>
      </c>
    </row>
    <row r="1668" spans="2:8" x14ac:dyDescent="0.2">
      <c r="B1668" s="87" t="str">
        <v/>
      </c>
      <c r="G1668" s="87">
        <v>0</v>
      </c>
      <c r="H1668" s="87" t="str">
        <v/>
      </c>
    </row>
    <row r="1669" spans="2:8" x14ac:dyDescent="0.2">
      <c r="B1669" s="87" t="str">
        <v/>
      </c>
      <c r="G1669" s="87">
        <v>0</v>
      </c>
      <c r="H1669" s="87" t="str">
        <v/>
      </c>
    </row>
    <row r="1670" spans="2:8" x14ac:dyDescent="0.2">
      <c r="B1670" s="87" t="str">
        <v/>
      </c>
      <c r="G1670" s="87">
        <v>0</v>
      </c>
      <c r="H1670" s="87" t="str">
        <v/>
      </c>
    </row>
    <row r="1671" spans="2:8" x14ac:dyDescent="0.2">
      <c r="B1671" s="87" t="str">
        <v/>
      </c>
      <c r="G1671" s="87">
        <v>0</v>
      </c>
      <c r="H1671" s="87" t="str">
        <v/>
      </c>
    </row>
    <row r="1672" spans="2:8" x14ac:dyDescent="0.2">
      <c r="B1672" s="87" t="str">
        <v/>
      </c>
      <c r="G1672" s="87">
        <v>0</v>
      </c>
      <c r="H1672" s="87" t="str">
        <v/>
      </c>
    </row>
    <row r="1673" spans="2:8" x14ac:dyDescent="0.2">
      <c r="B1673" s="87" t="str">
        <v/>
      </c>
      <c r="G1673" s="87">
        <v>0</v>
      </c>
      <c r="H1673" s="87" t="str">
        <v/>
      </c>
    </row>
    <row r="1674" spans="2:8" x14ac:dyDescent="0.2">
      <c r="B1674" s="87" t="str">
        <v/>
      </c>
      <c r="G1674" s="87">
        <v>0</v>
      </c>
      <c r="H1674" s="87" t="str">
        <v/>
      </c>
    </row>
    <row r="1675" spans="2:8" x14ac:dyDescent="0.2">
      <c r="B1675" s="87" t="str">
        <v/>
      </c>
      <c r="G1675" s="87">
        <v>0</v>
      </c>
      <c r="H1675" s="87" t="str">
        <v/>
      </c>
    </row>
    <row r="1676" spans="2:8" x14ac:dyDescent="0.2">
      <c r="B1676" s="87" t="str">
        <v/>
      </c>
      <c r="G1676" s="87">
        <v>0</v>
      </c>
      <c r="H1676" s="87" t="str">
        <v/>
      </c>
    </row>
    <row r="1677" spans="2:8" x14ac:dyDescent="0.2">
      <c r="B1677" s="87" t="str">
        <v/>
      </c>
      <c r="G1677" s="87">
        <v>0</v>
      </c>
      <c r="H1677" s="87" t="str">
        <v/>
      </c>
    </row>
    <row r="1678" spans="2:8" x14ac:dyDescent="0.2">
      <c r="B1678" s="87" t="str">
        <v/>
      </c>
      <c r="G1678" s="87">
        <v>0</v>
      </c>
      <c r="H1678" s="87" t="str">
        <v/>
      </c>
    </row>
    <row r="1679" spans="2:8" x14ac:dyDescent="0.2">
      <c r="B1679" s="87" t="str">
        <v/>
      </c>
      <c r="G1679" s="87">
        <v>0</v>
      </c>
      <c r="H1679" s="87" t="str">
        <v/>
      </c>
    </row>
    <row r="1680" spans="2:8" x14ac:dyDescent="0.2">
      <c r="B1680" s="87" t="str">
        <v/>
      </c>
      <c r="G1680" s="87">
        <v>0</v>
      </c>
      <c r="H1680" s="87" t="str">
        <v/>
      </c>
    </row>
    <row r="1681" spans="2:8" x14ac:dyDescent="0.2">
      <c r="B1681" s="87" t="str">
        <v/>
      </c>
      <c r="G1681" s="87">
        <v>0</v>
      </c>
      <c r="H1681" s="87" t="str">
        <v/>
      </c>
    </row>
    <row r="1682" spans="2:8" x14ac:dyDescent="0.2">
      <c r="B1682" s="87" t="str">
        <v/>
      </c>
      <c r="G1682" s="87">
        <v>0</v>
      </c>
      <c r="H1682" s="87" t="str">
        <v/>
      </c>
    </row>
    <row r="1683" spans="2:8" x14ac:dyDescent="0.2">
      <c r="B1683" s="87" t="str">
        <v/>
      </c>
      <c r="G1683" s="87">
        <v>0</v>
      </c>
      <c r="H1683" s="87" t="str">
        <v/>
      </c>
    </row>
    <row r="1684" spans="2:8" x14ac:dyDescent="0.2">
      <c r="B1684" s="87" t="str">
        <v/>
      </c>
      <c r="G1684" s="87">
        <v>0</v>
      </c>
      <c r="H1684" s="87" t="str">
        <v/>
      </c>
    </row>
    <row r="1685" spans="2:8" x14ac:dyDescent="0.2">
      <c r="B1685" s="87" t="str">
        <v/>
      </c>
      <c r="G1685" s="87">
        <v>0</v>
      </c>
      <c r="H1685" s="87" t="str">
        <v/>
      </c>
    </row>
    <row r="1686" spans="2:8" x14ac:dyDescent="0.2">
      <c r="B1686" s="87" t="str">
        <v/>
      </c>
      <c r="G1686" s="87">
        <v>0</v>
      </c>
      <c r="H1686" s="87" t="str">
        <v/>
      </c>
    </row>
    <row r="1687" spans="2:8" x14ac:dyDescent="0.2">
      <c r="B1687" s="87" t="str">
        <v/>
      </c>
      <c r="G1687" s="87">
        <v>0</v>
      </c>
      <c r="H1687" s="87" t="str">
        <v/>
      </c>
    </row>
    <row r="1688" spans="2:8" x14ac:dyDescent="0.2">
      <c r="B1688" s="87" t="str">
        <v/>
      </c>
      <c r="G1688" s="87">
        <v>0</v>
      </c>
      <c r="H1688" s="87" t="str">
        <v/>
      </c>
    </row>
    <row r="1689" spans="2:8" x14ac:dyDescent="0.2">
      <c r="B1689" s="87" t="str">
        <v/>
      </c>
      <c r="G1689" s="87">
        <v>0</v>
      </c>
      <c r="H1689" s="87" t="str">
        <v/>
      </c>
    </row>
    <row r="1690" spans="2:8" x14ac:dyDescent="0.2">
      <c r="B1690" s="87" t="str">
        <v/>
      </c>
      <c r="G1690" s="87">
        <v>0</v>
      </c>
      <c r="H1690" s="87" t="str">
        <v/>
      </c>
    </row>
    <row r="1691" spans="2:8" x14ac:dyDescent="0.2">
      <c r="B1691" s="87" t="str">
        <v/>
      </c>
      <c r="G1691" s="87">
        <v>0</v>
      </c>
      <c r="H1691" s="87" t="str">
        <v/>
      </c>
    </row>
    <row r="1692" spans="2:8" x14ac:dyDescent="0.2">
      <c r="B1692" s="87" t="str">
        <v/>
      </c>
      <c r="G1692" s="87">
        <v>0</v>
      </c>
      <c r="H1692" s="87" t="str">
        <v/>
      </c>
    </row>
    <row r="1693" spans="2:8" x14ac:dyDescent="0.2">
      <c r="B1693" s="87" t="str">
        <v/>
      </c>
      <c r="G1693" s="87">
        <v>0</v>
      </c>
      <c r="H1693" s="87" t="str">
        <v/>
      </c>
    </row>
    <row r="1694" spans="2:8" x14ac:dyDescent="0.2">
      <c r="B1694" s="87" t="str">
        <v/>
      </c>
      <c r="G1694" s="87">
        <v>0</v>
      </c>
      <c r="H1694" s="87" t="str">
        <v/>
      </c>
    </row>
    <row r="1695" spans="2:8" x14ac:dyDescent="0.2">
      <c r="B1695" s="87" t="str">
        <v/>
      </c>
      <c r="G1695" s="87">
        <v>0</v>
      </c>
      <c r="H1695" s="87" t="str">
        <v/>
      </c>
    </row>
    <row r="1696" spans="2:8" x14ac:dyDescent="0.2">
      <c r="B1696" s="87" t="str">
        <v/>
      </c>
      <c r="G1696" s="87">
        <v>0</v>
      </c>
      <c r="H1696" s="87" t="str">
        <v/>
      </c>
    </row>
    <row r="1697" spans="2:8" x14ac:dyDescent="0.2">
      <c r="B1697" s="87" t="str">
        <v/>
      </c>
      <c r="G1697" s="87">
        <v>0</v>
      </c>
      <c r="H1697" s="87" t="str">
        <v/>
      </c>
    </row>
    <row r="1698" spans="2:8" x14ac:dyDescent="0.2">
      <c r="B1698" s="87" t="str">
        <v/>
      </c>
      <c r="G1698" s="87">
        <v>0</v>
      </c>
      <c r="H1698" s="87" t="str">
        <v/>
      </c>
    </row>
    <row r="1699" spans="2:8" x14ac:dyDescent="0.2">
      <c r="B1699" s="87" t="str">
        <v/>
      </c>
      <c r="G1699" s="87">
        <v>0</v>
      </c>
      <c r="H1699" s="87" t="str">
        <v/>
      </c>
    </row>
    <row r="1700" spans="2:8" x14ac:dyDescent="0.2">
      <c r="B1700" s="87" t="str">
        <v/>
      </c>
      <c r="G1700" s="87">
        <v>0</v>
      </c>
      <c r="H1700" s="87" t="str">
        <v/>
      </c>
    </row>
    <row r="1701" spans="2:8" x14ac:dyDescent="0.2">
      <c r="B1701" s="87" t="str">
        <v/>
      </c>
      <c r="G1701" s="87">
        <v>0</v>
      </c>
      <c r="H1701" s="87" t="str">
        <v/>
      </c>
    </row>
    <row r="1702" spans="2:8" x14ac:dyDescent="0.2">
      <c r="B1702" s="87" t="str">
        <v/>
      </c>
      <c r="G1702" s="87">
        <v>0</v>
      </c>
      <c r="H1702" s="87" t="str">
        <v/>
      </c>
    </row>
    <row r="1703" spans="2:8" x14ac:dyDescent="0.2">
      <c r="B1703" s="87" t="str">
        <v/>
      </c>
      <c r="G1703" s="87">
        <v>0</v>
      </c>
      <c r="H1703" s="87" t="str">
        <v/>
      </c>
    </row>
    <row r="1704" spans="2:8" x14ac:dyDescent="0.2">
      <c r="B1704" s="87" t="str">
        <v/>
      </c>
      <c r="G1704" s="87">
        <v>0</v>
      </c>
      <c r="H1704" s="87" t="str">
        <v/>
      </c>
    </row>
    <row r="1705" spans="2:8" x14ac:dyDescent="0.2">
      <c r="B1705" s="87" t="str">
        <v/>
      </c>
      <c r="G1705" s="87">
        <v>0</v>
      </c>
      <c r="H1705" s="87" t="str">
        <v/>
      </c>
    </row>
    <row r="1706" spans="2:8" x14ac:dyDescent="0.2">
      <c r="B1706" s="87" t="str">
        <v/>
      </c>
      <c r="G1706" s="87">
        <v>0</v>
      </c>
      <c r="H1706" s="87" t="str">
        <v/>
      </c>
    </row>
    <row r="1707" spans="2:8" x14ac:dyDescent="0.2">
      <c r="B1707" s="87" t="str">
        <v/>
      </c>
      <c r="G1707" s="87">
        <v>0</v>
      </c>
      <c r="H1707" s="87" t="str">
        <v/>
      </c>
    </row>
    <row r="1708" spans="2:8" x14ac:dyDescent="0.2">
      <c r="B1708" s="87" t="str">
        <v/>
      </c>
      <c r="G1708" s="87">
        <v>0</v>
      </c>
      <c r="H1708" s="87" t="str">
        <v/>
      </c>
    </row>
    <row r="1709" spans="2:8" x14ac:dyDescent="0.2">
      <c r="B1709" s="87" t="str">
        <v/>
      </c>
      <c r="G1709" s="87">
        <v>0</v>
      </c>
      <c r="H1709" s="87" t="str">
        <v/>
      </c>
    </row>
    <row r="1710" spans="2:8" x14ac:dyDescent="0.2">
      <c r="B1710" s="87" t="str">
        <v/>
      </c>
      <c r="G1710" s="87">
        <v>0</v>
      </c>
      <c r="H1710" s="87" t="str">
        <v/>
      </c>
    </row>
    <row r="1711" spans="2:8" x14ac:dyDescent="0.2">
      <c r="B1711" s="87" t="str">
        <v/>
      </c>
      <c r="G1711" s="87">
        <v>0</v>
      </c>
      <c r="H1711" s="87" t="str">
        <v/>
      </c>
    </row>
    <row r="1712" spans="2:8" x14ac:dyDescent="0.2">
      <c r="B1712" s="87" t="str">
        <v/>
      </c>
      <c r="G1712" s="87">
        <v>0</v>
      </c>
      <c r="H1712" s="87" t="str">
        <v/>
      </c>
    </row>
    <row r="1713" spans="2:8" x14ac:dyDescent="0.2">
      <c r="B1713" s="87" t="str">
        <v/>
      </c>
      <c r="G1713" s="87">
        <v>0</v>
      </c>
      <c r="H1713" s="87" t="str">
        <v/>
      </c>
    </row>
    <row r="1714" spans="2:8" x14ac:dyDescent="0.2">
      <c r="B1714" s="87" t="str">
        <v/>
      </c>
      <c r="G1714" s="87">
        <v>0</v>
      </c>
      <c r="H1714" s="87" t="str">
        <v/>
      </c>
    </row>
    <row r="1715" spans="2:8" x14ac:dyDescent="0.2">
      <c r="B1715" s="87" t="str">
        <v/>
      </c>
      <c r="G1715" s="87">
        <v>0</v>
      </c>
      <c r="H1715" s="87" t="str">
        <v/>
      </c>
    </row>
    <row r="1716" spans="2:8" x14ac:dyDescent="0.2">
      <c r="B1716" s="87" t="str">
        <v/>
      </c>
      <c r="G1716" s="87">
        <v>0</v>
      </c>
      <c r="H1716" s="87" t="str">
        <v/>
      </c>
    </row>
    <row r="1717" spans="2:8" x14ac:dyDescent="0.2">
      <c r="B1717" s="87" t="str">
        <v/>
      </c>
      <c r="G1717" s="87">
        <v>0</v>
      </c>
      <c r="H1717" s="87" t="str">
        <v/>
      </c>
    </row>
    <row r="1718" spans="2:8" x14ac:dyDescent="0.2">
      <c r="B1718" s="87" t="str">
        <v/>
      </c>
      <c r="G1718" s="87">
        <v>0</v>
      </c>
      <c r="H1718" s="87" t="str">
        <v/>
      </c>
    </row>
    <row r="1719" spans="2:8" x14ac:dyDescent="0.2">
      <c r="B1719" s="87" t="str">
        <v/>
      </c>
      <c r="G1719" s="87">
        <v>0</v>
      </c>
      <c r="H1719" s="87" t="str">
        <v/>
      </c>
    </row>
    <row r="1720" spans="2:8" x14ac:dyDescent="0.2">
      <c r="B1720" s="87" t="str">
        <v/>
      </c>
      <c r="G1720" s="87">
        <v>0</v>
      </c>
      <c r="H1720" s="87" t="str">
        <v/>
      </c>
    </row>
    <row r="1721" spans="2:8" x14ac:dyDescent="0.2">
      <c r="B1721" s="87" t="str">
        <v/>
      </c>
      <c r="G1721" s="87">
        <v>0</v>
      </c>
      <c r="H1721" s="87" t="str">
        <v/>
      </c>
    </row>
    <row r="1722" spans="2:8" x14ac:dyDescent="0.2">
      <c r="B1722" s="87" t="str">
        <v/>
      </c>
      <c r="G1722" s="87">
        <v>0</v>
      </c>
      <c r="H1722" s="87" t="str">
        <v/>
      </c>
    </row>
    <row r="1723" spans="2:8" x14ac:dyDescent="0.2">
      <c r="B1723" s="87" t="str">
        <v/>
      </c>
      <c r="G1723" s="87">
        <v>0</v>
      </c>
      <c r="H1723" s="87" t="str">
        <v/>
      </c>
    </row>
    <row r="1724" spans="2:8" x14ac:dyDescent="0.2">
      <c r="B1724" s="87" t="str">
        <v/>
      </c>
      <c r="G1724" s="87">
        <v>0</v>
      </c>
      <c r="H1724" s="87" t="str">
        <v/>
      </c>
    </row>
    <row r="1725" spans="2:8" x14ac:dyDescent="0.2">
      <c r="B1725" s="87" t="str">
        <v/>
      </c>
      <c r="G1725" s="87">
        <v>0</v>
      </c>
      <c r="H1725" s="87" t="str">
        <v/>
      </c>
    </row>
    <row r="1726" spans="2:8" x14ac:dyDescent="0.2">
      <c r="B1726" s="87" t="str">
        <v/>
      </c>
      <c r="G1726" s="87">
        <v>0</v>
      </c>
      <c r="H1726" s="87" t="str">
        <v/>
      </c>
    </row>
    <row r="1727" spans="2:8" x14ac:dyDescent="0.2">
      <c r="B1727" s="87" t="str">
        <v/>
      </c>
      <c r="G1727" s="87">
        <v>0</v>
      </c>
      <c r="H1727" s="87" t="str">
        <v/>
      </c>
    </row>
    <row r="1728" spans="2:8" x14ac:dyDescent="0.2">
      <c r="B1728" s="87" t="str">
        <v/>
      </c>
      <c r="G1728" s="87">
        <v>0</v>
      </c>
      <c r="H1728" s="87" t="str">
        <v/>
      </c>
    </row>
    <row r="1729" spans="2:8" x14ac:dyDescent="0.2">
      <c r="B1729" s="87" t="str">
        <v/>
      </c>
      <c r="G1729" s="87">
        <v>0</v>
      </c>
      <c r="H1729" s="87" t="str">
        <v/>
      </c>
    </row>
    <row r="1730" spans="2:8" x14ac:dyDescent="0.2">
      <c r="B1730" s="87" t="str">
        <v/>
      </c>
      <c r="G1730" s="87">
        <v>0</v>
      </c>
      <c r="H1730" s="87" t="str">
        <v/>
      </c>
    </row>
    <row r="1731" spans="2:8" x14ac:dyDescent="0.2">
      <c r="B1731" s="87" t="str">
        <v/>
      </c>
      <c r="G1731" s="87">
        <v>0</v>
      </c>
      <c r="H1731" s="87" t="str">
        <v/>
      </c>
    </row>
    <row r="1732" spans="2:8" x14ac:dyDescent="0.2">
      <c r="B1732" s="87" t="str">
        <v/>
      </c>
      <c r="G1732" s="87">
        <v>0</v>
      </c>
      <c r="H1732" s="87" t="str">
        <v/>
      </c>
    </row>
    <row r="1733" spans="2:8" x14ac:dyDescent="0.2">
      <c r="B1733" s="87" t="str">
        <v/>
      </c>
      <c r="G1733" s="87">
        <v>0</v>
      </c>
      <c r="H1733" s="87" t="str">
        <v/>
      </c>
    </row>
    <row r="1734" spans="2:8" x14ac:dyDescent="0.2">
      <c r="B1734" s="87" t="str">
        <v/>
      </c>
      <c r="G1734" s="87">
        <v>0</v>
      </c>
      <c r="H1734" s="87" t="str">
        <v/>
      </c>
    </row>
    <row r="1735" spans="2:8" x14ac:dyDescent="0.2">
      <c r="B1735" s="87" t="str">
        <v/>
      </c>
      <c r="G1735" s="87">
        <v>0</v>
      </c>
      <c r="H1735" s="87" t="str">
        <v/>
      </c>
    </row>
    <row r="1736" spans="2:8" x14ac:dyDescent="0.2">
      <c r="B1736" s="87" t="str">
        <v/>
      </c>
      <c r="G1736" s="87">
        <v>0</v>
      </c>
      <c r="H1736" s="87" t="str">
        <v/>
      </c>
    </row>
    <row r="1737" spans="2:8" x14ac:dyDescent="0.2">
      <c r="B1737" s="87" t="str">
        <v/>
      </c>
      <c r="G1737" s="87">
        <v>0</v>
      </c>
      <c r="H1737" s="87" t="str">
        <v/>
      </c>
    </row>
    <row r="1738" spans="2:8" x14ac:dyDescent="0.2">
      <c r="B1738" s="87" t="str">
        <v/>
      </c>
      <c r="G1738" s="87">
        <v>0</v>
      </c>
      <c r="H1738" s="87" t="str">
        <v/>
      </c>
    </row>
    <row r="1739" spans="2:8" x14ac:dyDescent="0.2">
      <c r="B1739" s="87" t="str">
        <v/>
      </c>
      <c r="G1739" s="87">
        <v>0</v>
      </c>
      <c r="H1739" s="87" t="str">
        <v/>
      </c>
    </row>
    <row r="1740" spans="2:8" x14ac:dyDescent="0.2">
      <c r="B1740" s="87" t="str">
        <v/>
      </c>
      <c r="G1740" s="87">
        <v>0</v>
      </c>
      <c r="H1740" s="87" t="str">
        <v/>
      </c>
    </row>
    <row r="1741" spans="2:8" x14ac:dyDescent="0.2">
      <c r="B1741" s="87" t="str">
        <v/>
      </c>
      <c r="G1741" s="87">
        <v>0</v>
      </c>
      <c r="H1741" s="87" t="str">
        <v/>
      </c>
    </row>
    <row r="1742" spans="2:8" x14ac:dyDescent="0.2">
      <c r="B1742" s="87" t="str">
        <v/>
      </c>
      <c r="G1742" s="87">
        <v>0</v>
      </c>
      <c r="H1742" s="87" t="str">
        <v/>
      </c>
    </row>
    <row r="1743" spans="2:8" x14ac:dyDescent="0.2">
      <c r="B1743" s="87" t="str">
        <v/>
      </c>
      <c r="G1743" s="87">
        <v>0</v>
      </c>
      <c r="H1743" s="87" t="str">
        <v/>
      </c>
    </row>
    <row r="1744" spans="2:8" x14ac:dyDescent="0.2">
      <c r="B1744" s="87" t="str">
        <v/>
      </c>
      <c r="G1744" s="87">
        <v>0</v>
      </c>
      <c r="H1744" s="87" t="str">
        <v/>
      </c>
    </row>
    <row r="1745" spans="2:8" x14ac:dyDescent="0.2">
      <c r="B1745" s="87" t="str">
        <v/>
      </c>
      <c r="G1745" s="87">
        <v>0</v>
      </c>
      <c r="H1745" s="87" t="str">
        <v/>
      </c>
    </row>
    <row r="1746" spans="2:8" x14ac:dyDescent="0.2">
      <c r="B1746" s="87" t="str">
        <v/>
      </c>
      <c r="G1746" s="87">
        <v>0</v>
      </c>
      <c r="H1746" s="87" t="str">
        <v/>
      </c>
    </row>
    <row r="1747" spans="2:8" x14ac:dyDescent="0.2">
      <c r="B1747" s="87" t="str">
        <v/>
      </c>
      <c r="G1747" s="87">
        <v>0</v>
      </c>
      <c r="H1747" s="87" t="str">
        <v/>
      </c>
    </row>
    <row r="1748" spans="2:8" x14ac:dyDescent="0.2">
      <c r="B1748" s="87" t="str">
        <v/>
      </c>
      <c r="G1748" s="87">
        <v>0</v>
      </c>
      <c r="H1748" s="87" t="str">
        <v/>
      </c>
    </row>
    <row r="1749" spans="2:8" x14ac:dyDescent="0.2">
      <c r="B1749" s="87" t="str">
        <v/>
      </c>
      <c r="G1749" s="87">
        <v>0</v>
      </c>
      <c r="H1749" s="87" t="str">
        <v/>
      </c>
    </row>
    <row r="1750" spans="2:8" x14ac:dyDescent="0.2">
      <c r="B1750" s="87" t="str">
        <v/>
      </c>
      <c r="G1750" s="87">
        <v>0</v>
      </c>
      <c r="H1750" s="87" t="str">
        <v/>
      </c>
    </row>
    <row r="1751" spans="2:8" x14ac:dyDescent="0.2">
      <c r="B1751" s="87" t="str">
        <v/>
      </c>
      <c r="G1751" s="87">
        <v>0</v>
      </c>
      <c r="H1751" s="87" t="str">
        <v/>
      </c>
    </row>
    <row r="1752" spans="2:8" x14ac:dyDescent="0.2">
      <c r="B1752" s="87" t="str">
        <v/>
      </c>
      <c r="G1752" s="87">
        <v>0</v>
      </c>
      <c r="H1752" s="87" t="str">
        <v/>
      </c>
    </row>
    <row r="1753" spans="2:8" x14ac:dyDescent="0.2">
      <c r="B1753" s="87" t="str">
        <v/>
      </c>
      <c r="G1753" s="87">
        <v>0</v>
      </c>
      <c r="H1753" s="87" t="str">
        <v/>
      </c>
    </row>
    <row r="1754" spans="2:8" x14ac:dyDescent="0.2">
      <c r="B1754" s="87" t="str">
        <v/>
      </c>
      <c r="G1754" s="87">
        <v>0</v>
      </c>
      <c r="H1754" s="87" t="str">
        <v/>
      </c>
    </row>
    <row r="1755" spans="2:8" x14ac:dyDescent="0.2">
      <c r="B1755" s="87" t="str">
        <v/>
      </c>
      <c r="G1755" s="87">
        <v>0</v>
      </c>
      <c r="H1755" s="87" t="str">
        <v/>
      </c>
    </row>
    <row r="1756" spans="2:8" x14ac:dyDescent="0.2">
      <c r="B1756" s="87" t="str">
        <v/>
      </c>
      <c r="G1756" s="87">
        <v>0</v>
      </c>
      <c r="H1756" s="87" t="str">
        <v/>
      </c>
    </row>
    <row r="1757" spans="2:8" x14ac:dyDescent="0.2">
      <c r="B1757" s="87" t="str">
        <v/>
      </c>
      <c r="G1757" s="87">
        <v>0</v>
      </c>
      <c r="H1757" s="87" t="str">
        <v/>
      </c>
    </row>
    <row r="1758" spans="2:8" x14ac:dyDescent="0.2">
      <c r="B1758" s="87" t="str">
        <v/>
      </c>
      <c r="G1758" s="87">
        <v>0</v>
      </c>
      <c r="H1758" s="87" t="str">
        <v/>
      </c>
    </row>
    <row r="1759" spans="2:8" x14ac:dyDescent="0.2">
      <c r="B1759" s="87" t="str">
        <v/>
      </c>
      <c r="G1759" s="87">
        <v>0</v>
      </c>
      <c r="H1759" s="87" t="str">
        <v/>
      </c>
    </row>
    <row r="1760" spans="2:8" x14ac:dyDescent="0.2">
      <c r="B1760" s="87" t="str">
        <v/>
      </c>
      <c r="G1760" s="87">
        <v>0</v>
      </c>
      <c r="H1760" s="87" t="str">
        <v/>
      </c>
    </row>
    <row r="1761" spans="2:8" x14ac:dyDescent="0.2">
      <c r="B1761" s="87" t="str">
        <v/>
      </c>
      <c r="G1761" s="87">
        <v>0</v>
      </c>
      <c r="H1761" s="87" t="str">
        <v/>
      </c>
    </row>
    <row r="1762" spans="2:8" x14ac:dyDescent="0.2">
      <c r="B1762" s="87" t="str">
        <v/>
      </c>
      <c r="G1762" s="87">
        <v>0</v>
      </c>
      <c r="H1762" s="87" t="str">
        <v/>
      </c>
    </row>
    <row r="1763" spans="2:8" x14ac:dyDescent="0.2">
      <c r="B1763" s="87" t="str">
        <v/>
      </c>
      <c r="G1763" s="87">
        <v>0</v>
      </c>
      <c r="H1763" s="87" t="str">
        <v/>
      </c>
    </row>
    <row r="1764" spans="2:8" x14ac:dyDescent="0.2">
      <c r="B1764" s="87" t="str">
        <v/>
      </c>
      <c r="G1764" s="87">
        <v>0</v>
      </c>
      <c r="H1764" s="87" t="str">
        <v/>
      </c>
    </row>
    <row r="1765" spans="2:8" x14ac:dyDescent="0.2">
      <c r="B1765" s="87" t="str">
        <v/>
      </c>
      <c r="G1765" s="87">
        <v>0</v>
      </c>
      <c r="H1765" s="87" t="str">
        <v/>
      </c>
    </row>
    <row r="1766" spans="2:8" x14ac:dyDescent="0.2">
      <c r="B1766" s="87" t="str">
        <v/>
      </c>
      <c r="G1766" s="87">
        <v>0</v>
      </c>
      <c r="H1766" s="87" t="str">
        <v/>
      </c>
    </row>
    <row r="1767" spans="2:8" x14ac:dyDescent="0.2">
      <c r="B1767" s="87" t="str">
        <v/>
      </c>
      <c r="G1767" s="87">
        <v>0</v>
      </c>
      <c r="H1767" s="87" t="str">
        <v/>
      </c>
    </row>
    <row r="1768" spans="2:8" x14ac:dyDescent="0.2">
      <c r="B1768" s="87" t="str">
        <v/>
      </c>
      <c r="G1768" s="87">
        <v>0</v>
      </c>
      <c r="H1768" s="87" t="str">
        <v/>
      </c>
    </row>
    <row r="1769" spans="2:8" x14ac:dyDescent="0.2">
      <c r="B1769" s="87" t="str">
        <v/>
      </c>
      <c r="G1769" s="87">
        <v>0</v>
      </c>
      <c r="H1769" s="87" t="str">
        <v/>
      </c>
    </row>
    <row r="1770" spans="2:8" x14ac:dyDescent="0.2">
      <c r="B1770" s="87" t="str">
        <v/>
      </c>
      <c r="G1770" s="87">
        <v>0</v>
      </c>
      <c r="H1770" s="87" t="str">
        <v/>
      </c>
    </row>
    <row r="1771" spans="2:8" x14ac:dyDescent="0.2">
      <c r="B1771" s="87" t="str">
        <v/>
      </c>
      <c r="G1771" s="87">
        <v>0</v>
      </c>
      <c r="H1771" s="87" t="str">
        <v/>
      </c>
    </row>
    <row r="1772" spans="2:8" x14ac:dyDescent="0.2">
      <c r="B1772" s="87" t="str">
        <v/>
      </c>
      <c r="G1772" s="87">
        <v>0</v>
      </c>
      <c r="H1772" s="87" t="str">
        <v/>
      </c>
    </row>
    <row r="1773" spans="2:8" x14ac:dyDescent="0.2">
      <c r="B1773" s="87" t="str">
        <v/>
      </c>
      <c r="G1773" s="87">
        <v>0</v>
      </c>
      <c r="H1773" s="87" t="str">
        <v/>
      </c>
    </row>
    <row r="1774" spans="2:8" x14ac:dyDescent="0.2">
      <c r="B1774" s="87" t="str">
        <v/>
      </c>
      <c r="G1774" s="87">
        <v>0</v>
      </c>
      <c r="H1774" s="87" t="str">
        <v/>
      </c>
    </row>
    <row r="1775" spans="2:8" x14ac:dyDescent="0.2">
      <c r="B1775" s="87" t="str">
        <v/>
      </c>
      <c r="G1775" s="87">
        <v>0</v>
      </c>
      <c r="H1775" s="87" t="str">
        <v/>
      </c>
    </row>
    <row r="1776" spans="2:8" x14ac:dyDescent="0.2">
      <c r="B1776" s="87" t="str">
        <v/>
      </c>
      <c r="G1776" s="87">
        <v>0</v>
      </c>
      <c r="H1776" s="87" t="str">
        <v/>
      </c>
    </row>
    <row r="1777" spans="2:8" x14ac:dyDescent="0.2">
      <c r="B1777" s="87" t="str">
        <v/>
      </c>
      <c r="G1777" s="87">
        <v>0</v>
      </c>
      <c r="H1777" s="87" t="str">
        <v/>
      </c>
    </row>
    <row r="1778" spans="2:8" x14ac:dyDescent="0.2">
      <c r="B1778" s="87" t="str">
        <v/>
      </c>
      <c r="G1778" s="87">
        <v>0</v>
      </c>
      <c r="H1778" s="87" t="str">
        <v/>
      </c>
    </row>
    <row r="1779" spans="2:8" x14ac:dyDescent="0.2">
      <c r="B1779" s="87" t="str">
        <v/>
      </c>
      <c r="G1779" s="87">
        <v>0</v>
      </c>
      <c r="H1779" s="87" t="str">
        <v/>
      </c>
    </row>
    <row r="1780" spans="2:8" x14ac:dyDescent="0.2">
      <c r="B1780" s="87" t="str">
        <v/>
      </c>
      <c r="G1780" s="87">
        <v>0</v>
      </c>
      <c r="H1780" s="87" t="str">
        <v/>
      </c>
    </row>
    <row r="1781" spans="2:8" x14ac:dyDescent="0.2">
      <c r="B1781" s="87" t="str">
        <v/>
      </c>
      <c r="G1781" s="87">
        <v>0</v>
      </c>
      <c r="H1781" s="87" t="str">
        <v/>
      </c>
    </row>
    <row r="1782" spans="2:8" x14ac:dyDescent="0.2">
      <c r="B1782" s="87" t="str">
        <v/>
      </c>
      <c r="G1782" s="87">
        <v>0</v>
      </c>
      <c r="H1782" s="87" t="str">
        <v/>
      </c>
    </row>
    <row r="1783" spans="2:8" x14ac:dyDescent="0.2">
      <c r="B1783" s="87" t="str">
        <v/>
      </c>
      <c r="G1783" s="87">
        <v>0</v>
      </c>
      <c r="H1783" s="87" t="str">
        <v/>
      </c>
    </row>
    <row r="1784" spans="2:8" x14ac:dyDescent="0.2">
      <c r="B1784" s="87" t="str">
        <v/>
      </c>
      <c r="G1784" s="87">
        <v>0</v>
      </c>
      <c r="H1784" s="87" t="str">
        <v/>
      </c>
    </row>
    <row r="1785" spans="2:8" x14ac:dyDescent="0.2">
      <c r="B1785" s="87" t="str">
        <v/>
      </c>
      <c r="G1785" s="87">
        <v>0</v>
      </c>
      <c r="H1785" s="87" t="str">
        <v/>
      </c>
    </row>
    <row r="1786" spans="2:8" x14ac:dyDescent="0.2">
      <c r="B1786" s="87" t="str">
        <v/>
      </c>
      <c r="G1786" s="87">
        <v>0</v>
      </c>
      <c r="H1786" s="87" t="str">
        <v/>
      </c>
    </row>
    <row r="1787" spans="2:8" x14ac:dyDescent="0.2">
      <c r="B1787" s="87" t="str">
        <v/>
      </c>
      <c r="G1787" s="87">
        <v>0</v>
      </c>
      <c r="H1787" s="87" t="str">
        <v/>
      </c>
    </row>
    <row r="1788" spans="2:8" x14ac:dyDescent="0.2">
      <c r="B1788" s="87" t="str">
        <v/>
      </c>
      <c r="G1788" s="87">
        <v>0</v>
      </c>
      <c r="H1788" s="87" t="str">
        <v/>
      </c>
    </row>
    <row r="1789" spans="2:8" x14ac:dyDescent="0.2">
      <c r="B1789" s="87" t="str">
        <v/>
      </c>
      <c r="G1789" s="87">
        <v>0</v>
      </c>
      <c r="H1789" s="87" t="str">
        <v/>
      </c>
    </row>
    <row r="1790" spans="2:8" x14ac:dyDescent="0.2">
      <c r="B1790" s="87" t="str">
        <v/>
      </c>
      <c r="G1790" s="87">
        <v>0</v>
      </c>
      <c r="H1790" s="87" t="str">
        <v/>
      </c>
    </row>
    <row r="1791" spans="2:8" x14ac:dyDescent="0.2">
      <c r="B1791" s="87" t="str">
        <v/>
      </c>
      <c r="G1791" s="87">
        <v>0</v>
      </c>
      <c r="H1791" s="87" t="str">
        <v/>
      </c>
    </row>
    <row r="1792" spans="2:8" x14ac:dyDescent="0.2">
      <c r="B1792" s="87" t="str">
        <v/>
      </c>
      <c r="G1792" s="87">
        <v>0</v>
      </c>
      <c r="H1792" s="87" t="str">
        <v/>
      </c>
    </row>
    <row r="1793" spans="2:8" x14ac:dyDescent="0.2">
      <c r="B1793" s="87" t="str">
        <v/>
      </c>
      <c r="G1793" s="87">
        <v>0</v>
      </c>
      <c r="H1793" s="87" t="str">
        <v/>
      </c>
    </row>
    <row r="1794" spans="2:8" x14ac:dyDescent="0.2">
      <c r="B1794" s="87" t="str">
        <v/>
      </c>
      <c r="G1794" s="87">
        <v>0</v>
      </c>
      <c r="H1794" s="87" t="str">
        <v/>
      </c>
    </row>
    <row r="1795" spans="2:8" x14ac:dyDescent="0.2">
      <c r="B1795" s="87" t="str">
        <v/>
      </c>
      <c r="G1795" s="87">
        <v>0</v>
      </c>
      <c r="H1795" s="87" t="str">
        <v/>
      </c>
    </row>
    <row r="1796" spans="2:8" x14ac:dyDescent="0.2">
      <c r="B1796" s="87" t="str">
        <v/>
      </c>
      <c r="G1796" s="87">
        <v>0</v>
      </c>
      <c r="H1796" s="87" t="str">
        <v/>
      </c>
    </row>
    <row r="1797" spans="2:8" x14ac:dyDescent="0.2">
      <c r="B1797" s="87" t="str">
        <v/>
      </c>
      <c r="G1797" s="87">
        <v>0</v>
      </c>
      <c r="H1797" s="87" t="str">
        <v/>
      </c>
    </row>
    <row r="1798" spans="2:8" x14ac:dyDescent="0.2">
      <c r="B1798" s="87" t="str">
        <v/>
      </c>
      <c r="G1798" s="87">
        <v>0</v>
      </c>
      <c r="H1798" s="87" t="str">
        <v/>
      </c>
    </row>
    <row r="1799" spans="2:8" x14ac:dyDescent="0.2">
      <c r="B1799" s="87" t="str">
        <v/>
      </c>
      <c r="G1799" s="87">
        <v>0</v>
      </c>
      <c r="H1799" s="87" t="str">
        <v/>
      </c>
    </row>
    <row r="1800" spans="2:8" x14ac:dyDescent="0.2">
      <c r="B1800" s="87" t="str">
        <v/>
      </c>
      <c r="G1800" s="87">
        <v>0</v>
      </c>
      <c r="H1800" s="87" t="str">
        <v/>
      </c>
    </row>
    <row r="1801" spans="2:8" x14ac:dyDescent="0.2">
      <c r="B1801" s="87" t="str">
        <v/>
      </c>
      <c r="G1801" s="87">
        <v>0</v>
      </c>
      <c r="H1801" s="87" t="str">
        <v/>
      </c>
    </row>
    <row r="1802" spans="2:8" x14ac:dyDescent="0.2">
      <c r="B1802" s="87" t="str">
        <v/>
      </c>
      <c r="G1802" s="87">
        <v>0</v>
      </c>
      <c r="H1802" s="87" t="str">
        <v/>
      </c>
    </row>
    <row r="1803" spans="2:8" x14ac:dyDescent="0.2">
      <c r="B1803" s="87" t="str">
        <v/>
      </c>
      <c r="G1803" s="87">
        <v>0</v>
      </c>
      <c r="H1803" s="87" t="str">
        <v/>
      </c>
    </row>
    <row r="1804" spans="2:8" x14ac:dyDescent="0.2">
      <c r="B1804" s="87" t="str">
        <v/>
      </c>
      <c r="G1804" s="87">
        <v>0</v>
      </c>
      <c r="H1804" s="87" t="str">
        <v/>
      </c>
    </row>
    <row r="1805" spans="2:8" x14ac:dyDescent="0.2">
      <c r="B1805" s="87" t="str">
        <v/>
      </c>
      <c r="G1805" s="87">
        <v>0</v>
      </c>
      <c r="H1805" s="87" t="str">
        <v/>
      </c>
    </row>
    <row r="1806" spans="2:8" x14ac:dyDescent="0.2">
      <c r="B1806" s="87" t="str">
        <v/>
      </c>
      <c r="G1806" s="87">
        <v>0</v>
      </c>
      <c r="H1806" s="87" t="str">
        <v/>
      </c>
    </row>
    <row r="1807" spans="2:8" x14ac:dyDescent="0.2">
      <c r="B1807" s="87" t="str">
        <v/>
      </c>
      <c r="G1807" s="87">
        <v>0</v>
      </c>
      <c r="H1807" s="87" t="str">
        <v/>
      </c>
    </row>
    <row r="1808" spans="2:8" x14ac:dyDescent="0.2">
      <c r="B1808" s="87" t="str">
        <v/>
      </c>
      <c r="G1808" s="87">
        <v>0</v>
      </c>
      <c r="H1808" s="87" t="str">
        <v/>
      </c>
    </row>
    <row r="1809" spans="2:8" x14ac:dyDescent="0.2">
      <c r="B1809" s="87" t="str">
        <v/>
      </c>
      <c r="G1809" s="87">
        <v>0</v>
      </c>
      <c r="H1809" s="87" t="str">
        <v/>
      </c>
    </row>
    <row r="1810" spans="2:8" x14ac:dyDescent="0.2">
      <c r="B1810" s="87" t="str">
        <v/>
      </c>
      <c r="G1810" s="87">
        <v>0</v>
      </c>
      <c r="H1810" s="87" t="str">
        <v/>
      </c>
    </row>
    <row r="1811" spans="2:8" x14ac:dyDescent="0.2">
      <c r="B1811" s="87" t="str">
        <v/>
      </c>
      <c r="G1811" s="87">
        <v>0</v>
      </c>
      <c r="H1811" s="87" t="str">
        <v/>
      </c>
    </row>
    <row r="1812" spans="2:8" x14ac:dyDescent="0.2">
      <c r="B1812" s="87" t="str">
        <v/>
      </c>
      <c r="G1812" s="87">
        <v>0</v>
      </c>
      <c r="H1812" s="87" t="str">
        <v/>
      </c>
    </row>
    <row r="1813" spans="2:8" x14ac:dyDescent="0.2">
      <c r="B1813" s="87" t="str">
        <v/>
      </c>
      <c r="G1813" s="87">
        <v>0</v>
      </c>
      <c r="H1813" s="87" t="str">
        <v/>
      </c>
    </row>
    <row r="1814" spans="2:8" x14ac:dyDescent="0.2">
      <c r="B1814" s="87" t="str">
        <v/>
      </c>
      <c r="G1814" s="87">
        <v>0</v>
      </c>
      <c r="H1814" s="87" t="str">
        <v/>
      </c>
    </row>
    <row r="1815" spans="2:8" x14ac:dyDescent="0.2">
      <c r="B1815" s="87" t="str">
        <v/>
      </c>
      <c r="G1815" s="87">
        <v>0</v>
      </c>
      <c r="H1815" s="87" t="str">
        <v/>
      </c>
    </row>
    <row r="1816" spans="2:8" x14ac:dyDescent="0.2">
      <c r="B1816" s="87" t="str">
        <v/>
      </c>
      <c r="G1816" s="87">
        <v>0</v>
      </c>
      <c r="H1816" s="87" t="str">
        <v/>
      </c>
    </row>
    <row r="1817" spans="2:8" x14ac:dyDescent="0.2">
      <c r="B1817" s="87" t="str">
        <v/>
      </c>
      <c r="G1817" s="87">
        <v>0</v>
      </c>
      <c r="H1817" s="87" t="str">
        <v/>
      </c>
    </row>
    <row r="1818" spans="2:8" x14ac:dyDescent="0.2">
      <c r="B1818" s="87" t="str">
        <v/>
      </c>
      <c r="G1818" s="87">
        <v>0</v>
      </c>
      <c r="H1818" s="87" t="str">
        <v/>
      </c>
    </row>
    <row r="1819" spans="2:8" x14ac:dyDescent="0.2">
      <c r="B1819" s="87" t="str">
        <v/>
      </c>
      <c r="G1819" s="87">
        <v>0</v>
      </c>
      <c r="H1819" s="87" t="str">
        <v/>
      </c>
    </row>
    <row r="1820" spans="2:8" x14ac:dyDescent="0.2">
      <c r="B1820" s="87" t="str">
        <v/>
      </c>
      <c r="G1820" s="87">
        <v>0</v>
      </c>
      <c r="H1820" s="87" t="str">
        <v/>
      </c>
    </row>
    <row r="1821" spans="2:8" x14ac:dyDescent="0.2">
      <c r="B1821" s="87" t="str">
        <v/>
      </c>
      <c r="G1821" s="87">
        <v>0</v>
      </c>
      <c r="H1821" s="87" t="str">
        <v/>
      </c>
    </row>
    <row r="1822" spans="2:8" x14ac:dyDescent="0.2">
      <c r="B1822" s="87" t="str">
        <v/>
      </c>
      <c r="G1822" s="87">
        <v>0</v>
      </c>
      <c r="H1822" s="87" t="str">
        <v/>
      </c>
    </row>
    <row r="1823" spans="2:8" x14ac:dyDescent="0.2">
      <c r="B1823" s="87" t="str">
        <v/>
      </c>
      <c r="G1823" s="87">
        <v>0</v>
      </c>
      <c r="H1823" s="87" t="str">
        <v/>
      </c>
    </row>
    <row r="1824" spans="2:8" x14ac:dyDescent="0.2">
      <c r="B1824" s="87" t="str">
        <v/>
      </c>
      <c r="G1824" s="87">
        <v>0</v>
      </c>
      <c r="H1824" s="87" t="str">
        <v/>
      </c>
    </row>
    <row r="1825" spans="2:8" x14ac:dyDescent="0.2">
      <c r="B1825" s="87" t="str">
        <v/>
      </c>
      <c r="G1825" s="87">
        <v>0</v>
      </c>
      <c r="H1825" s="87" t="str">
        <v/>
      </c>
    </row>
    <row r="1826" spans="2:8" x14ac:dyDescent="0.2">
      <c r="B1826" s="87" t="str">
        <v/>
      </c>
      <c r="G1826" s="87">
        <v>0</v>
      </c>
      <c r="H1826" s="87" t="str">
        <v/>
      </c>
    </row>
    <row r="1827" spans="2:8" x14ac:dyDescent="0.2">
      <c r="B1827" s="87" t="str">
        <v/>
      </c>
      <c r="G1827" s="87">
        <v>0</v>
      </c>
      <c r="H1827" s="87" t="str">
        <v/>
      </c>
    </row>
    <row r="1828" spans="2:8" x14ac:dyDescent="0.2">
      <c r="B1828" s="87" t="str">
        <v/>
      </c>
      <c r="G1828" s="87">
        <v>0</v>
      </c>
      <c r="H1828" s="87" t="str">
        <v/>
      </c>
    </row>
    <row r="1829" spans="2:8" x14ac:dyDescent="0.2">
      <c r="B1829" s="87" t="str">
        <v/>
      </c>
      <c r="G1829" s="87">
        <v>0</v>
      </c>
      <c r="H1829" s="87" t="str">
        <v/>
      </c>
    </row>
    <row r="1830" spans="2:8" x14ac:dyDescent="0.2">
      <c r="B1830" s="87" t="str">
        <v/>
      </c>
      <c r="G1830" s="87">
        <v>0</v>
      </c>
      <c r="H1830" s="87" t="str">
        <v/>
      </c>
    </row>
    <row r="1831" spans="2:8" x14ac:dyDescent="0.2">
      <c r="B1831" s="87" t="str">
        <v/>
      </c>
      <c r="G1831" s="87">
        <v>0</v>
      </c>
      <c r="H1831" s="87" t="str">
        <v/>
      </c>
    </row>
    <row r="1832" spans="2:8" x14ac:dyDescent="0.2">
      <c r="B1832" s="87" t="str">
        <v/>
      </c>
      <c r="G1832" s="87">
        <v>0</v>
      </c>
      <c r="H1832" s="87" t="str">
        <v/>
      </c>
    </row>
    <row r="1833" spans="2:8" x14ac:dyDescent="0.2">
      <c r="B1833" s="87" t="str">
        <v/>
      </c>
      <c r="G1833" s="87">
        <v>0</v>
      </c>
      <c r="H1833" s="87" t="str">
        <v/>
      </c>
    </row>
    <row r="1834" spans="2:8" x14ac:dyDescent="0.2">
      <c r="B1834" s="87" t="str">
        <v/>
      </c>
      <c r="G1834" s="87">
        <v>0</v>
      </c>
      <c r="H1834" s="87" t="str">
        <v/>
      </c>
    </row>
    <row r="1835" spans="2:8" x14ac:dyDescent="0.2">
      <c r="B1835" s="87" t="str">
        <v/>
      </c>
      <c r="G1835" s="87">
        <v>0</v>
      </c>
      <c r="H1835" s="87" t="str">
        <v/>
      </c>
    </row>
    <row r="1836" spans="2:8" x14ac:dyDescent="0.2">
      <c r="B1836" s="87" t="str">
        <v/>
      </c>
      <c r="G1836" s="87">
        <v>0</v>
      </c>
      <c r="H1836" s="87" t="str">
        <v/>
      </c>
    </row>
    <row r="1837" spans="2:8" x14ac:dyDescent="0.2">
      <c r="B1837" s="87" t="str">
        <v/>
      </c>
      <c r="G1837" s="87">
        <v>0</v>
      </c>
      <c r="H1837" s="87" t="str">
        <v/>
      </c>
    </row>
    <row r="1838" spans="2:8" x14ac:dyDescent="0.2">
      <c r="B1838" s="87" t="str">
        <v/>
      </c>
      <c r="G1838" s="87">
        <v>0</v>
      </c>
      <c r="H1838" s="87" t="str">
        <v/>
      </c>
    </row>
    <row r="1839" spans="2:8" x14ac:dyDescent="0.2">
      <c r="B1839" s="87" t="str">
        <v/>
      </c>
      <c r="G1839" s="87">
        <v>0</v>
      </c>
      <c r="H1839" s="87" t="str">
        <v/>
      </c>
    </row>
    <row r="1840" spans="2:8" x14ac:dyDescent="0.2">
      <c r="B1840" s="87" t="str">
        <v/>
      </c>
      <c r="G1840" s="87">
        <v>0</v>
      </c>
      <c r="H1840" s="87" t="str">
        <v/>
      </c>
    </row>
    <row r="1841" spans="2:8" x14ac:dyDescent="0.2">
      <c r="B1841" s="87" t="str">
        <v/>
      </c>
      <c r="G1841" s="87">
        <v>0</v>
      </c>
      <c r="H1841" s="87" t="str">
        <v/>
      </c>
    </row>
    <row r="1842" spans="2:8" x14ac:dyDescent="0.2">
      <c r="B1842" s="87" t="str">
        <v/>
      </c>
      <c r="G1842" s="87">
        <v>0</v>
      </c>
      <c r="H1842" s="87" t="str">
        <v/>
      </c>
    </row>
    <row r="1843" spans="2:8" x14ac:dyDescent="0.2">
      <c r="B1843" s="87" t="str">
        <v/>
      </c>
      <c r="G1843" s="87">
        <v>0</v>
      </c>
      <c r="H1843" s="87" t="str">
        <v/>
      </c>
    </row>
    <row r="1844" spans="2:8" x14ac:dyDescent="0.2">
      <c r="B1844" s="87" t="str">
        <v/>
      </c>
      <c r="G1844" s="87">
        <v>0</v>
      </c>
      <c r="H1844" s="87" t="str">
        <v/>
      </c>
    </row>
    <row r="1845" spans="2:8" x14ac:dyDescent="0.2">
      <c r="B1845" s="87" t="str">
        <v/>
      </c>
      <c r="G1845" s="87">
        <v>0</v>
      </c>
      <c r="H1845" s="87" t="str">
        <v/>
      </c>
    </row>
    <row r="1846" spans="2:8" x14ac:dyDescent="0.2">
      <c r="B1846" s="87" t="str">
        <v/>
      </c>
      <c r="G1846" s="87">
        <v>0</v>
      </c>
      <c r="H1846" s="87" t="str">
        <v/>
      </c>
    </row>
    <row r="1847" spans="2:8" x14ac:dyDescent="0.2">
      <c r="B1847" s="87" t="str">
        <v/>
      </c>
      <c r="G1847" s="87">
        <v>0</v>
      </c>
      <c r="H1847" s="87" t="str">
        <v/>
      </c>
    </row>
    <row r="1848" spans="2:8" x14ac:dyDescent="0.2">
      <c r="B1848" s="87" t="str">
        <v/>
      </c>
      <c r="G1848" s="87">
        <v>0</v>
      </c>
      <c r="H1848" s="87" t="str">
        <v/>
      </c>
    </row>
    <row r="1849" spans="2:8" x14ac:dyDescent="0.2">
      <c r="B1849" s="87" t="str">
        <v/>
      </c>
      <c r="G1849" s="87">
        <v>0</v>
      </c>
      <c r="H1849" s="87" t="str">
        <v/>
      </c>
    </row>
    <row r="1850" spans="2:8" x14ac:dyDescent="0.2">
      <c r="B1850" s="87" t="str">
        <v/>
      </c>
      <c r="G1850" s="87">
        <v>0</v>
      </c>
      <c r="H1850" s="87" t="str">
        <v/>
      </c>
    </row>
    <row r="1851" spans="2:8" x14ac:dyDescent="0.2">
      <c r="B1851" s="87" t="str">
        <v/>
      </c>
      <c r="G1851" s="87">
        <v>0</v>
      </c>
      <c r="H1851" s="87" t="str">
        <v/>
      </c>
    </row>
    <row r="1852" spans="2:8" x14ac:dyDescent="0.2">
      <c r="B1852" s="87" t="str">
        <v/>
      </c>
      <c r="G1852" s="87">
        <v>0</v>
      </c>
      <c r="H1852" s="87" t="str">
        <v/>
      </c>
    </row>
    <row r="1853" spans="2:8" x14ac:dyDescent="0.2">
      <c r="B1853" s="87" t="str">
        <v/>
      </c>
      <c r="G1853" s="87">
        <v>0</v>
      </c>
      <c r="H1853" s="87" t="str">
        <v/>
      </c>
    </row>
    <row r="1854" spans="2:8" x14ac:dyDescent="0.2">
      <c r="B1854" s="87" t="str">
        <v/>
      </c>
      <c r="G1854" s="87">
        <v>0</v>
      </c>
      <c r="H1854" s="87" t="str">
        <v/>
      </c>
    </row>
    <row r="1855" spans="2:8" x14ac:dyDescent="0.2">
      <c r="B1855" s="87" t="str">
        <v/>
      </c>
      <c r="G1855" s="87">
        <v>0</v>
      </c>
      <c r="H1855" s="87" t="str">
        <v/>
      </c>
    </row>
    <row r="1856" spans="2:8" x14ac:dyDescent="0.2">
      <c r="B1856" s="87" t="str">
        <v/>
      </c>
      <c r="G1856" s="87">
        <v>0</v>
      </c>
      <c r="H1856" s="87" t="str">
        <v/>
      </c>
    </row>
    <row r="1857" spans="2:8" x14ac:dyDescent="0.2">
      <c r="B1857" s="87" t="str">
        <v/>
      </c>
      <c r="G1857" s="87">
        <v>0</v>
      </c>
      <c r="H1857" s="87" t="str">
        <v/>
      </c>
    </row>
    <row r="1858" spans="2:8" x14ac:dyDescent="0.2">
      <c r="B1858" s="87" t="str">
        <v/>
      </c>
      <c r="G1858" s="87">
        <v>0</v>
      </c>
      <c r="H1858" s="87" t="str">
        <v/>
      </c>
    </row>
    <row r="1859" spans="2:8" x14ac:dyDescent="0.2">
      <c r="B1859" s="87" t="str">
        <v/>
      </c>
      <c r="G1859" s="87">
        <v>0</v>
      </c>
      <c r="H1859" s="87" t="str">
        <v/>
      </c>
    </row>
    <row r="1860" spans="2:8" x14ac:dyDescent="0.2">
      <c r="B1860" s="87" t="str">
        <v/>
      </c>
      <c r="G1860" s="87">
        <v>0</v>
      </c>
      <c r="H1860" s="87" t="str">
        <v/>
      </c>
    </row>
    <row r="1861" spans="2:8" x14ac:dyDescent="0.2">
      <c r="B1861" s="87" t="str">
        <v/>
      </c>
      <c r="G1861" s="87">
        <v>0</v>
      </c>
      <c r="H1861" s="87" t="str">
        <v/>
      </c>
    </row>
    <row r="1862" spans="2:8" x14ac:dyDescent="0.2">
      <c r="B1862" s="87" t="str">
        <v/>
      </c>
      <c r="G1862" s="87">
        <v>0</v>
      </c>
      <c r="H1862" s="87" t="str">
        <v/>
      </c>
    </row>
    <row r="1863" spans="2:8" x14ac:dyDescent="0.2">
      <c r="B1863" s="87" t="str">
        <v/>
      </c>
      <c r="G1863" s="87">
        <v>0</v>
      </c>
      <c r="H1863" s="87" t="str">
        <v/>
      </c>
    </row>
    <row r="1864" spans="2:8" x14ac:dyDescent="0.2">
      <c r="B1864" s="87" t="str">
        <v/>
      </c>
      <c r="G1864" s="87">
        <v>0</v>
      </c>
      <c r="H1864" s="87" t="str">
        <v/>
      </c>
    </row>
    <row r="1865" spans="2:8" x14ac:dyDescent="0.2">
      <c r="B1865" s="87" t="str">
        <v/>
      </c>
      <c r="G1865" s="87">
        <v>0</v>
      </c>
      <c r="H1865" s="87" t="str">
        <v/>
      </c>
    </row>
    <row r="1866" spans="2:8" x14ac:dyDescent="0.2">
      <c r="B1866" s="87" t="str">
        <v/>
      </c>
      <c r="G1866" s="87">
        <v>0</v>
      </c>
      <c r="H1866" s="87" t="str">
        <v/>
      </c>
    </row>
    <row r="1867" spans="2:8" x14ac:dyDescent="0.2">
      <c r="B1867" s="87" t="str">
        <v/>
      </c>
      <c r="G1867" s="87">
        <v>0</v>
      </c>
      <c r="H1867" s="87" t="str">
        <v/>
      </c>
    </row>
    <row r="1868" spans="2:8" x14ac:dyDescent="0.2">
      <c r="B1868" s="87" t="str">
        <v/>
      </c>
      <c r="G1868" s="87">
        <v>0</v>
      </c>
      <c r="H1868" s="87" t="str">
        <v/>
      </c>
    </row>
    <row r="1869" spans="2:8" x14ac:dyDescent="0.2">
      <c r="B1869" s="87" t="str">
        <v/>
      </c>
      <c r="G1869" s="87">
        <v>0</v>
      </c>
      <c r="H1869" s="87" t="str">
        <v/>
      </c>
    </row>
    <row r="1870" spans="2:8" x14ac:dyDescent="0.2">
      <c r="B1870" s="87" t="str">
        <v/>
      </c>
      <c r="G1870" s="87">
        <v>0</v>
      </c>
      <c r="H1870" s="87" t="str">
        <v/>
      </c>
    </row>
    <row r="1871" spans="2:8" x14ac:dyDescent="0.2">
      <c r="B1871" s="87" t="str">
        <v/>
      </c>
      <c r="G1871" s="87">
        <v>0</v>
      </c>
      <c r="H1871" s="87" t="str">
        <v/>
      </c>
    </row>
    <row r="1872" spans="2:8" x14ac:dyDescent="0.2">
      <c r="B1872" s="87" t="str">
        <v/>
      </c>
      <c r="G1872" s="87">
        <v>0</v>
      </c>
      <c r="H1872" s="87" t="str">
        <v/>
      </c>
    </row>
    <row r="1873" spans="2:8" x14ac:dyDescent="0.2">
      <c r="B1873" s="87" t="str">
        <v/>
      </c>
      <c r="G1873" s="87">
        <v>0</v>
      </c>
      <c r="H1873" s="87" t="str">
        <v/>
      </c>
    </row>
    <row r="1874" spans="2:8" x14ac:dyDescent="0.2">
      <c r="B1874" s="87" t="str">
        <v/>
      </c>
      <c r="G1874" s="87">
        <v>0</v>
      </c>
      <c r="H1874" s="87" t="str">
        <v/>
      </c>
    </row>
    <row r="1875" spans="2:8" x14ac:dyDescent="0.2">
      <c r="B1875" s="87" t="str">
        <v/>
      </c>
      <c r="G1875" s="87">
        <v>0</v>
      </c>
      <c r="H1875" s="87" t="str">
        <v/>
      </c>
    </row>
    <row r="1876" spans="2:8" x14ac:dyDescent="0.2">
      <c r="B1876" s="87" t="str">
        <v/>
      </c>
      <c r="G1876" s="87">
        <v>0</v>
      </c>
      <c r="H1876" s="87" t="str">
        <v/>
      </c>
    </row>
    <row r="1877" spans="2:8" x14ac:dyDescent="0.2">
      <c r="B1877" s="87" t="str">
        <v/>
      </c>
      <c r="G1877" s="87">
        <v>0</v>
      </c>
      <c r="H1877" s="87" t="str">
        <v/>
      </c>
    </row>
    <row r="1878" spans="2:8" x14ac:dyDescent="0.2">
      <c r="B1878" s="87" t="str">
        <v/>
      </c>
      <c r="G1878" s="87">
        <v>0</v>
      </c>
      <c r="H1878" s="87" t="str">
        <v/>
      </c>
    </row>
    <row r="1879" spans="2:8" x14ac:dyDescent="0.2">
      <c r="B1879" s="87" t="str">
        <v/>
      </c>
      <c r="G1879" s="87">
        <v>0</v>
      </c>
      <c r="H1879" s="87" t="str">
        <v/>
      </c>
    </row>
    <row r="1880" spans="2:8" x14ac:dyDescent="0.2">
      <c r="B1880" s="87" t="str">
        <v/>
      </c>
      <c r="G1880" s="87">
        <v>0</v>
      </c>
      <c r="H1880" s="87" t="str">
        <v/>
      </c>
    </row>
    <row r="1881" spans="2:8" x14ac:dyDescent="0.2">
      <c r="B1881" s="87" t="str">
        <v/>
      </c>
      <c r="G1881" s="87">
        <v>0</v>
      </c>
      <c r="H1881" s="87" t="str">
        <v/>
      </c>
    </row>
    <row r="1882" spans="2:8" x14ac:dyDescent="0.2">
      <c r="B1882" s="87" t="str">
        <v/>
      </c>
      <c r="G1882" s="87">
        <v>0</v>
      </c>
      <c r="H1882" s="87" t="str">
        <v/>
      </c>
    </row>
    <row r="1883" spans="2:8" x14ac:dyDescent="0.2">
      <c r="B1883" s="87" t="str">
        <v/>
      </c>
      <c r="G1883" s="87">
        <v>0</v>
      </c>
      <c r="H1883" s="87" t="str">
        <v/>
      </c>
    </row>
    <row r="1884" spans="2:8" x14ac:dyDescent="0.2">
      <c r="B1884" s="87" t="str">
        <v/>
      </c>
      <c r="G1884" s="87">
        <v>0</v>
      </c>
      <c r="H1884" s="87" t="str">
        <v/>
      </c>
    </row>
    <row r="1885" spans="2:8" x14ac:dyDescent="0.2">
      <c r="B1885" s="87" t="str">
        <v/>
      </c>
      <c r="G1885" s="87">
        <v>0</v>
      </c>
      <c r="H1885" s="87" t="str">
        <v/>
      </c>
    </row>
    <row r="1886" spans="2:8" x14ac:dyDescent="0.2">
      <c r="B1886" s="87" t="str">
        <v/>
      </c>
      <c r="G1886" s="87">
        <v>0</v>
      </c>
      <c r="H1886" s="87" t="str">
        <v/>
      </c>
    </row>
    <row r="1887" spans="2:8" x14ac:dyDescent="0.2">
      <c r="B1887" s="87" t="str">
        <v/>
      </c>
      <c r="G1887" s="87">
        <v>0</v>
      </c>
      <c r="H1887" s="87" t="str">
        <v/>
      </c>
    </row>
    <row r="1888" spans="2:8" x14ac:dyDescent="0.2">
      <c r="B1888" s="87" t="str">
        <v/>
      </c>
      <c r="G1888" s="87">
        <v>0</v>
      </c>
      <c r="H1888" s="87" t="str">
        <v/>
      </c>
    </row>
    <row r="1889" spans="2:8" x14ac:dyDescent="0.2">
      <c r="B1889" s="87" t="str">
        <v/>
      </c>
      <c r="G1889" s="87">
        <v>0</v>
      </c>
      <c r="H1889" s="87" t="str">
        <v/>
      </c>
    </row>
    <row r="1890" spans="2:8" x14ac:dyDescent="0.2">
      <c r="B1890" s="87" t="str">
        <v/>
      </c>
      <c r="G1890" s="87">
        <v>0</v>
      </c>
      <c r="H1890" s="87" t="str">
        <v/>
      </c>
    </row>
    <row r="1891" spans="2:8" x14ac:dyDescent="0.2">
      <c r="B1891" s="87" t="str">
        <v/>
      </c>
      <c r="G1891" s="87">
        <v>0</v>
      </c>
      <c r="H1891" s="87" t="str">
        <v/>
      </c>
    </row>
    <row r="1892" spans="2:8" x14ac:dyDescent="0.2">
      <c r="B1892" s="87" t="str">
        <v/>
      </c>
      <c r="G1892" s="87">
        <v>0</v>
      </c>
      <c r="H1892" s="87" t="str">
        <v/>
      </c>
    </row>
    <row r="1893" spans="2:8" x14ac:dyDescent="0.2">
      <c r="B1893" s="87" t="str">
        <v/>
      </c>
      <c r="G1893" s="87">
        <v>0</v>
      </c>
      <c r="H1893" s="87" t="str">
        <v/>
      </c>
    </row>
    <row r="1894" spans="2:8" x14ac:dyDescent="0.2">
      <c r="B1894" s="87" t="str">
        <v/>
      </c>
      <c r="G1894" s="87">
        <v>0</v>
      </c>
      <c r="H1894" s="87" t="str">
        <v/>
      </c>
    </row>
    <row r="1895" spans="2:8" x14ac:dyDescent="0.2">
      <c r="B1895" s="87" t="str">
        <v/>
      </c>
      <c r="G1895" s="87">
        <v>0</v>
      </c>
      <c r="H1895" s="87" t="str">
        <v/>
      </c>
    </row>
    <row r="1896" spans="2:8" x14ac:dyDescent="0.2">
      <c r="B1896" s="87" t="str">
        <v/>
      </c>
      <c r="G1896" s="87">
        <v>0</v>
      </c>
      <c r="H1896" s="87" t="str">
        <v/>
      </c>
    </row>
    <row r="1897" spans="2:8" x14ac:dyDescent="0.2">
      <c r="B1897" s="87" t="str">
        <v/>
      </c>
      <c r="G1897" s="87">
        <v>0</v>
      </c>
      <c r="H1897" s="87" t="str">
        <v/>
      </c>
    </row>
    <row r="1898" spans="2:8" x14ac:dyDescent="0.2">
      <c r="B1898" s="87" t="str">
        <v/>
      </c>
      <c r="G1898" s="87">
        <v>0</v>
      </c>
      <c r="H1898" s="87" t="str">
        <v/>
      </c>
    </row>
    <row r="1899" spans="2:8" x14ac:dyDescent="0.2">
      <c r="B1899" s="87" t="str">
        <v/>
      </c>
      <c r="G1899" s="87">
        <v>0</v>
      </c>
      <c r="H1899" s="87" t="str">
        <v/>
      </c>
    </row>
    <row r="1900" spans="2:8" x14ac:dyDescent="0.2">
      <c r="B1900" s="87" t="str">
        <v/>
      </c>
      <c r="G1900" s="87">
        <v>0</v>
      </c>
      <c r="H1900" s="87" t="str">
        <v/>
      </c>
    </row>
    <row r="1901" spans="2:8" x14ac:dyDescent="0.2">
      <c r="B1901" s="87" t="str">
        <v/>
      </c>
      <c r="G1901" s="87">
        <v>0</v>
      </c>
      <c r="H1901" s="87" t="str">
        <v/>
      </c>
    </row>
    <row r="1902" spans="2:8" x14ac:dyDescent="0.2">
      <c r="B1902" s="87" t="str">
        <v/>
      </c>
      <c r="G1902" s="87">
        <v>0</v>
      </c>
      <c r="H1902" s="87" t="str">
        <v/>
      </c>
    </row>
    <row r="1903" spans="2:8" x14ac:dyDescent="0.2">
      <c r="B1903" s="87" t="str">
        <v/>
      </c>
      <c r="G1903" s="87">
        <v>0</v>
      </c>
      <c r="H1903" s="87" t="str">
        <v/>
      </c>
    </row>
    <row r="1904" spans="2:8" x14ac:dyDescent="0.2">
      <c r="B1904" s="87" t="str">
        <v/>
      </c>
      <c r="G1904" s="87">
        <v>0</v>
      </c>
      <c r="H1904" s="87" t="str">
        <v/>
      </c>
    </row>
    <row r="1905" spans="2:8" x14ac:dyDescent="0.2">
      <c r="B1905" s="87" t="str">
        <v/>
      </c>
      <c r="G1905" s="87">
        <v>0</v>
      </c>
      <c r="H1905" s="87" t="str">
        <v/>
      </c>
    </row>
    <row r="1906" spans="2:8" x14ac:dyDescent="0.2">
      <c r="B1906" s="87" t="str">
        <v/>
      </c>
      <c r="G1906" s="87">
        <v>0</v>
      </c>
      <c r="H1906" s="87" t="str">
        <v/>
      </c>
    </row>
    <row r="1907" spans="2:8" x14ac:dyDescent="0.2">
      <c r="B1907" s="87" t="str">
        <v/>
      </c>
      <c r="G1907" s="87">
        <v>0</v>
      </c>
      <c r="H1907" s="87" t="str">
        <v/>
      </c>
    </row>
    <row r="1908" spans="2:8" x14ac:dyDescent="0.2">
      <c r="B1908" s="87" t="str">
        <v/>
      </c>
      <c r="G1908" s="87">
        <v>0</v>
      </c>
      <c r="H1908" s="87" t="str">
        <v/>
      </c>
    </row>
    <row r="1909" spans="2:8" x14ac:dyDescent="0.2">
      <c r="B1909" s="87" t="str">
        <v/>
      </c>
      <c r="G1909" s="87">
        <v>0</v>
      </c>
      <c r="H1909" s="87" t="str">
        <v/>
      </c>
    </row>
    <row r="1910" spans="2:8" x14ac:dyDescent="0.2">
      <c r="B1910" s="87" t="str">
        <v/>
      </c>
      <c r="G1910" s="87">
        <v>0</v>
      </c>
      <c r="H1910" s="87" t="str">
        <v/>
      </c>
    </row>
    <row r="1911" spans="2:8" x14ac:dyDescent="0.2">
      <c r="B1911" s="87" t="str">
        <v/>
      </c>
      <c r="G1911" s="87">
        <v>0</v>
      </c>
      <c r="H1911" s="87" t="str">
        <v/>
      </c>
    </row>
    <row r="1912" spans="2:8" x14ac:dyDescent="0.2">
      <c r="B1912" s="87" t="str">
        <v/>
      </c>
      <c r="G1912" s="87">
        <v>0</v>
      </c>
      <c r="H1912" s="87" t="str">
        <v/>
      </c>
    </row>
    <row r="1913" spans="2:8" x14ac:dyDescent="0.2">
      <c r="B1913" s="87" t="str">
        <v/>
      </c>
      <c r="G1913" s="87">
        <v>0</v>
      </c>
      <c r="H1913" s="87" t="str">
        <v/>
      </c>
    </row>
    <row r="1914" spans="2:8" x14ac:dyDescent="0.2">
      <c r="B1914" s="87" t="str">
        <v/>
      </c>
      <c r="G1914" s="87">
        <v>0</v>
      </c>
      <c r="H1914" s="87" t="str">
        <v/>
      </c>
    </row>
    <row r="1915" spans="2:8" x14ac:dyDescent="0.2">
      <c r="B1915" s="87" t="str">
        <v/>
      </c>
      <c r="G1915" s="87">
        <v>0</v>
      </c>
      <c r="H1915" s="87" t="str">
        <v/>
      </c>
    </row>
    <row r="1916" spans="2:8" x14ac:dyDescent="0.2">
      <c r="B1916" s="87" t="str">
        <v/>
      </c>
      <c r="G1916" s="87">
        <v>0</v>
      </c>
      <c r="H1916" s="87" t="str">
        <v/>
      </c>
    </row>
    <row r="1917" spans="2:8" x14ac:dyDescent="0.2">
      <c r="B1917" s="87" t="str">
        <v/>
      </c>
      <c r="G1917" s="87">
        <v>0</v>
      </c>
      <c r="H1917" s="87" t="str">
        <v/>
      </c>
    </row>
    <row r="1918" spans="2:8" x14ac:dyDescent="0.2">
      <c r="B1918" s="87" t="str">
        <v/>
      </c>
      <c r="G1918" s="87">
        <v>0</v>
      </c>
      <c r="H1918" s="87" t="str">
        <v/>
      </c>
    </row>
    <row r="1919" spans="2:8" x14ac:dyDescent="0.2">
      <c r="B1919" s="87" t="str">
        <v/>
      </c>
      <c r="G1919" s="87">
        <v>0</v>
      </c>
      <c r="H1919" s="87" t="str">
        <v/>
      </c>
    </row>
    <row r="1920" spans="2:8" x14ac:dyDescent="0.2">
      <c r="B1920" s="87" t="str">
        <v/>
      </c>
      <c r="G1920" s="87">
        <v>0</v>
      </c>
      <c r="H1920" s="87" t="str">
        <v/>
      </c>
    </row>
    <row r="1921" spans="2:8" x14ac:dyDescent="0.2">
      <c r="B1921" s="87" t="str">
        <v/>
      </c>
      <c r="G1921" s="87">
        <v>0</v>
      </c>
      <c r="H1921" s="87" t="str">
        <v/>
      </c>
    </row>
    <row r="1922" spans="2:8" x14ac:dyDescent="0.2">
      <c r="B1922" s="87" t="str">
        <v/>
      </c>
      <c r="G1922" s="87">
        <v>0</v>
      </c>
      <c r="H1922" s="87" t="str">
        <v/>
      </c>
    </row>
    <row r="1923" spans="2:8" x14ac:dyDescent="0.2">
      <c r="B1923" s="87" t="str">
        <v/>
      </c>
      <c r="G1923" s="87">
        <v>0</v>
      </c>
      <c r="H1923" s="87" t="str">
        <v/>
      </c>
    </row>
    <row r="1924" spans="2:8" x14ac:dyDescent="0.2">
      <c r="B1924" s="87" t="str">
        <v/>
      </c>
      <c r="G1924" s="87">
        <v>0</v>
      </c>
      <c r="H1924" s="87" t="str">
        <v/>
      </c>
    </row>
    <row r="1925" spans="2:8" x14ac:dyDescent="0.2">
      <c r="B1925" s="87" t="str">
        <v/>
      </c>
      <c r="G1925" s="87">
        <v>0</v>
      </c>
      <c r="H1925" s="87" t="str">
        <v/>
      </c>
    </row>
    <row r="1926" spans="2:8" x14ac:dyDescent="0.2">
      <c r="B1926" s="87" t="str">
        <v/>
      </c>
      <c r="G1926" s="87">
        <v>0</v>
      </c>
      <c r="H1926" s="87" t="str">
        <v/>
      </c>
    </row>
    <row r="1927" spans="2:8" x14ac:dyDescent="0.2">
      <c r="B1927" s="87" t="str">
        <v/>
      </c>
      <c r="G1927" s="87">
        <v>0</v>
      </c>
      <c r="H1927" s="87" t="str">
        <v/>
      </c>
    </row>
    <row r="1928" spans="2:8" x14ac:dyDescent="0.2">
      <c r="B1928" s="87" t="str">
        <v/>
      </c>
      <c r="G1928" s="87">
        <v>0</v>
      </c>
      <c r="H1928" s="87" t="str">
        <v/>
      </c>
    </row>
    <row r="1929" spans="2:8" x14ac:dyDescent="0.2">
      <c r="B1929" s="87" t="str">
        <v/>
      </c>
      <c r="G1929" s="87">
        <v>0</v>
      </c>
      <c r="H1929" s="87" t="str">
        <v/>
      </c>
    </row>
    <row r="1930" spans="2:8" x14ac:dyDescent="0.2">
      <c r="B1930" s="87" t="str">
        <v/>
      </c>
      <c r="G1930" s="87">
        <v>0</v>
      </c>
      <c r="H1930" s="87" t="str">
        <v/>
      </c>
    </row>
    <row r="1931" spans="2:8" x14ac:dyDescent="0.2">
      <c r="B1931" s="87" t="str">
        <v/>
      </c>
      <c r="G1931" s="87">
        <v>0</v>
      </c>
      <c r="H1931" s="87" t="str">
        <v/>
      </c>
    </row>
    <row r="1932" spans="2:8" x14ac:dyDescent="0.2">
      <c r="B1932" s="87" t="str">
        <v/>
      </c>
      <c r="G1932" s="87">
        <v>0</v>
      </c>
      <c r="H1932" s="87" t="str">
        <v/>
      </c>
    </row>
    <row r="1933" spans="2:8" x14ac:dyDescent="0.2">
      <c r="B1933" s="87" t="str">
        <v/>
      </c>
      <c r="G1933" s="87">
        <v>0</v>
      </c>
      <c r="H1933" s="87" t="str">
        <v/>
      </c>
    </row>
    <row r="1934" spans="2:8" x14ac:dyDescent="0.2">
      <c r="B1934" s="87" t="str">
        <v/>
      </c>
      <c r="G1934" s="87">
        <v>0</v>
      </c>
      <c r="H1934" s="87" t="str">
        <v/>
      </c>
    </row>
    <row r="1935" spans="2:8" x14ac:dyDescent="0.2">
      <c r="B1935" s="87" t="str">
        <v/>
      </c>
      <c r="G1935" s="87">
        <v>0</v>
      </c>
      <c r="H1935" s="87" t="str">
        <v/>
      </c>
    </row>
    <row r="1936" spans="2:8" x14ac:dyDescent="0.2">
      <c r="B1936" s="87" t="str">
        <v/>
      </c>
      <c r="G1936" s="87">
        <v>0</v>
      </c>
      <c r="H1936" s="87" t="str">
        <v/>
      </c>
    </row>
    <row r="1937" spans="2:8" x14ac:dyDescent="0.2">
      <c r="B1937" s="87" t="str">
        <v/>
      </c>
      <c r="G1937" s="87">
        <v>0</v>
      </c>
      <c r="H1937" s="87" t="str">
        <v/>
      </c>
    </row>
    <row r="1938" spans="2:8" x14ac:dyDescent="0.2">
      <c r="B1938" s="87" t="str">
        <v/>
      </c>
      <c r="G1938" s="87">
        <v>0</v>
      </c>
      <c r="H1938" s="87" t="str">
        <v/>
      </c>
    </row>
    <row r="1939" spans="2:8" x14ac:dyDescent="0.2">
      <c r="B1939" s="87" t="str">
        <v/>
      </c>
      <c r="G1939" s="87">
        <v>0</v>
      </c>
      <c r="H1939" s="87" t="str">
        <v/>
      </c>
    </row>
    <row r="1940" spans="2:8" x14ac:dyDescent="0.2">
      <c r="B1940" s="87" t="str">
        <v/>
      </c>
      <c r="G1940" s="87">
        <v>0</v>
      </c>
      <c r="H1940" s="87" t="str">
        <v/>
      </c>
    </row>
    <row r="1941" spans="2:8" x14ac:dyDescent="0.2">
      <c r="B1941" s="87" t="str">
        <v/>
      </c>
      <c r="G1941" s="87">
        <v>0</v>
      </c>
      <c r="H1941" s="87" t="str">
        <v/>
      </c>
    </row>
    <row r="1942" spans="2:8" x14ac:dyDescent="0.2">
      <c r="B1942" s="87" t="str">
        <v/>
      </c>
      <c r="G1942" s="87">
        <v>0</v>
      </c>
      <c r="H1942" s="87" t="str">
        <v/>
      </c>
    </row>
    <row r="1943" spans="2:8" x14ac:dyDescent="0.2">
      <c r="B1943" s="87" t="str">
        <v/>
      </c>
      <c r="G1943" s="87">
        <v>0</v>
      </c>
      <c r="H1943" s="87" t="str">
        <v/>
      </c>
    </row>
    <row r="1944" spans="2:8" x14ac:dyDescent="0.2">
      <c r="B1944" s="87" t="str">
        <v/>
      </c>
      <c r="G1944" s="87">
        <v>0</v>
      </c>
      <c r="H1944" s="87" t="str">
        <v/>
      </c>
    </row>
    <row r="1945" spans="2:8" x14ac:dyDescent="0.2">
      <c r="B1945" s="87" t="str">
        <v/>
      </c>
      <c r="G1945" s="87">
        <v>0</v>
      </c>
      <c r="H1945" s="87" t="str">
        <v/>
      </c>
    </row>
    <row r="1946" spans="2:8" x14ac:dyDescent="0.2">
      <c r="B1946" s="87" t="str">
        <v/>
      </c>
      <c r="G1946" s="87">
        <v>0</v>
      </c>
      <c r="H1946" s="87" t="str">
        <v/>
      </c>
    </row>
    <row r="1947" spans="2:8" x14ac:dyDescent="0.2">
      <c r="B1947" s="87" t="str">
        <v/>
      </c>
      <c r="G1947" s="87">
        <v>0</v>
      </c>
      <c r="H1947" s="87" t="str">
        <v/>
      </c>
    </row>
    <row r="1948" spans="2:8" x14ac:dyDescent="0.2">
      <c r="B1948" s="87" t="str">
        <v/>
      </c>
      <c r="G1948" s="87">
        <v>0</v>
      </c>
      <c r="H1948" s="87" t="str">
        <v/>
      </c>
    </row>
    <row r="1949" spans="2:8" x14ac:dyDescent="0.2">
      <c r="B1949" s="87" t="str">
        <v/>
      </c>
      <c r="G1949" s="87">
        <v>0</v>
      </c>
      <c r="H1949" s="87" t="str">
        <v/>
      </c>
    </row>
    <row r="1950" spans="2:8" x14ac:dyDescent="0.2">
      <c r="B1950" s="87" t="str">
        <v/>
      </c>
      <c r="G1950" s="87">
        <v>0</v>
      </c>
      <c r="H1950" s="87" t="str">
        <v/>
      </c>
    </row>
    <row r="1951" spans="2:8" x14ac:dyDescent="0.2">
      <c r="B1951" s="87" t="str">
        <v/>
      </c>
      <c r="G1951" s="87">
        <v>0</v>
      </c>
      <c r="H1951" s="87" t="str">
        <v/>
      </c>
    </row>
    <row r="1952" spans="2:8" x14ac:dyDescent="0.2">
      <c r="B1952" s="87" t="str">
        <v/>
      </c>
      <c r="G1952" s="87">
        <v>0</v>
      </c>
      <c r="H1952" s="87" t="str">
        <v/>
      </c>
    </row>
    <row r="1953" spans="2:8" x14ac:dyDescent="0.2">
      <c r="B1953" s="87" t="str">
        <v/>
      </c>
      <c r="G1953" s="87">
        <v>0</v>
      </c>
      <c r="H1953" s="87" t="str">
        <v/>
      </c>
    </row>
    <row r="1954" spans="2:8" x14ac:dyDescent="0.2">
      <c r="B1954" s="87" t="str">
        <v/>
      </c>
      <c r="G1954" s="87">
        <v>0</v>
      </c>
      <c r="H1954" s="87" t="str">
        <v/>
      </c>
    </row>
    <row r="1955" spans="2:8" x14ac:dyDescent="0.2">
      <c r="B1955" s="87" t="str">
        <v/>
      </c>
      <c r="G1955" s="87">
        <v>0</v>
      </c>
      <c r="H1955" s="87" t="str">
        <v/>
      </c>
    </row>
    <row r="1956" spans="2:8" x14ac:dyDescent="0.2">
      <c r="B1956" s="87" t="str">
        <v/>
      </c>
      <c r="G1956" s="87">
        <v>0</v>
      </c>
      <c r="H1956" s="87" t="str">
        <v/>
      </c>
    </row>
    <row r="1957" spans="2:8" x14ac:dyDescent="0.2">
      <c r="B1957" s="87" t="str">
        <v/>
      </c>
      <c r="G1957" s="87">
        <v>0</v>
      </c>
      <c r="H1957" s="87" t="str">
        <v/>
      </c>
    </row>
    <row r="1958" spans="2:8" x14ac:dyDescent="0.2">
      <c r="B1958" s="87" t="str">
        <v/>
      </c>
      <c r="G1958" s="87">
        <v>0</v>
      </c>
      <c r="H1958" s="87" t="str">
        <v/>
      </c>
    </row>
    <row r="1959" spans="2:8" x14ac:dyDescent="0.2">
      <c r="B1959" s="87" t="str">
        <v/>
      </c>
      <c r="G1959" s="87">
        <v>0</v>
      </c>
      <c r="H1959" s="87" t="str">
        <v/>
      </c>
    </row>
    <row r="1960" spans="2:8" x14ac:dyDescent="0.2">
      <c r="B1960" s="87" t="str">
        <v/>
      </c>
      <c r="G1960" s="87">
        <v>0</v>
      </c>
      <c r="H1960" s="87" t="str">
        <v/>
      </c>
    </row>
    <row r="1961" spans="2:8" x14ac:dyDescent="0.2">
      <c r="B1961" s="87" t="str">
        <v/>
      </c>
      <c r="G1961" s="87">
        <v>0</v>
      </c>
      <c r="H1961" s="87" t="str">
        <v/>
      </c>
    </row>
    <row r="1962" spans="2:8" x14ac:dyDescent="0.2">
      <c r="B1962" s="87" t="str">
        <v/>
      </c>
      <c r="G1962" s="87">
        <v>0</v>
      </c>
      <c r="H1962" s="87" t="str">
        <v/>
      </c>
    </row>
    <row r="1963" spans="2:8" x14ac:dyDescent="0.2">
      <c r="B1963" s="87" t="str">
        <v/>
      </c>
      <c r="G1963" s="87">
        <v>0</v>
      </c>
      <c r="H1963" s="87" t="str">
        <v/>
      </c>
    </row>
    <row r="1964" spans="2:8" x14ac:dyDescent="0.2">
      <c r="B1964" s="87" t="str">
        <v/>
      </c>
      <c r="G1964" s="87">
        <v>0</v>
      </c>
      <c r="H1964" s="87" t="str">
        <v/>
      </c>
    </row>
    <row r="1965" spans="2:8" x14ac:dyDescent="0.2">
      <c r="B1965" s="87" t="str">
        <v/>
      </c>
      <c r="G1965" s="87">
        <v>0</v>
      </c>
      <c r="H1965" s="87" t="str">
        <v/>
      </c>
    </row>
    <row r="1966" spans="2:8" x14ac:dyDescent="0.2">
      <c r="B1966" s="87" t="str">
        <v/>
      </c>
      <c r="G1966" s="87">
        <v>0</v>
      </c>
      <c r="H1966" s="87" t="str">
        <v/>
      </c>
    </row>
    <row r="1967" spans="2:8" x14ac:dyDescent="0.2">
      <c r="B1967" s="87" t="str">
        <v/>
      </c>
      <c r="G1967" s="87">
        <v>0</v>
      </c>
      <c r="H1967" s="87" t="str">
        <v/>
      </c>
    </row>
    <row r="1968" spans="2:8" x14ac:dyDescent="0.2">
      <c r="B1968" s="87" t="str">
        <v/>
      </c>
      <c r="G1968" s="87">
        <v>0</v>
      </c>
      <c r="H1968" s="87" t="str">
        <v/>
      </c>
    </row>
    <row r="1969" spans="2:8" x14ac:dyDescent="0.2">
      <c r="B1969" s="87" t="str">
        <v/>
      </c>
      <c r="G1969" s="87">
        <v>0</v>
      </c>
      <c r="H1969" s="87" t="str">
        <v/>
      </c>
    </row>
    <row r="1970" spans="2:8" x14ac:dyDescent="0.2">
      <c r="B1970" s="87" t="str">
        <v/>
      </c>
      <c r="G1970" s="87">
        <v>0</v>
      </c>
      <c r="H1970" s="87" t="str">
        <v/>
      </c>
    </row>
    <row r="1971" spans="2:8" x14ac:dyDescent="0.2">
      <c r="B1971" s="87" t="str">
        <v/>
      </c>
      <c r="G1971" s="87">
        <v>0</v>
      </c>
      <c r="H1971" s="87" t="str">
        <v/>
      </c>
    </row>
    <row r="1972" spans="2:8" x14ac:dyDescent="0.2">
      <c r="B1972" s="87" t="str">
        <v/>
      </c>
      <c r="G1972" s="87">
        <v>0</v>
      </c>
      <c r="H1972" s="87" t="str">
        <v/>
      </c>
    </row>
    <row r="1973" spans="2:8" x14ac:dyDescent="0.2">
      <c r="B1973" s="87" t="str">
        <v/>
      </c>
      <c r="G1973" s="87">
        <v>0</v>
      </c>
      <c r="H1973" s="87" t="str">
        <v/>
      </c>
    </row>
    <row r="1974" spans="2:8" x14ac:dyDescent="0.2">
      <c r="B1974" s="87" t="str">
        <v/>
      </c>
      <c r="G1974" s="87">
        <v>0</v>
      </c>
      <c r="H1974" s="87" t="str">
        <v/>
      </c>
    </row>
    <row r="1975" spans="2:8" x14ac:dyDescent="0.2">
      <c r="B1975" s="87" t="str">
        <v/>
      </c>
      <c r="G1975" s="87">
        <v>0</v>
      </c>
      <c r="H1975" s="87" t="str">
        <v/>
      </c>
    </row>
    <row r="1976" spans="2:8" x14ac:dyDescent="0.2">
      <c r="B1976" s="87" t="str">
        <v/>
      </c>
      <c r="G1976" s="87">
        <v>0</v>
      </c>
      <c r="H1976" s="87" t="str">
        <v/>
      </c>
    </row>
    <row r="1977" spans="2:8" x14ac:dyDescent="0.2">
      <c r="B1977" s="87" t="str">
        <v/>
      </c>
      <c r="G1977" s="87">
        <v>0</v>
      </c>
      <c r="H1977" s="87" t="str">
        <v/>
      </c>
    </row>
    <row r="1978" spans="2:8" x14ac:dyDescent="0.2">
      <c r="B1978" s="87" t="str">
        <v/>
      </c>
      <c r="G1978" s="87">
        <v>0</v>
      </c>
      <c r="H1978" s="87" t="str">
        <v/>
      </c>
    </row>
    <row r="1979" spans="2:8" x14ac:dyDescent="0.2">
      <c r="B1979" s="87" t="str">
        <v/>
      </c>
      <c r="G1979" s="87">
        <v>0</v>
      </c>
      <c r="H1979" s="87" t="str">
        <v/>
      </c>
    </row>
    <row r="1980" spans="2:8" x14ac:dyDescent="0.2">
      <c r="B1980" s="87" t="str">
        <v/>
      </c>
      <c r="G1980" s="87">
        <v>0</v>
      </c>
      <c r="H1980" s="87" t="str">
        <v/>
      </c>
    </row>
    <row r="1981" spans="2:8" x14ac:dyDescent="0.2">
      <c r="B1981" s="87" t="str">
        <v/>
      </c>
      <c r="G1981" s="87">
        <v>0</v>
      </c>
      <c r="H1981" s="87" t="str">
        <v/>
      </c>
    </row>
    <row r="1982" spans="2:8" x14ac:dyDescent="0.2">
      <c r="B1982" s="87" t="str">
        <v/>
      </c>
      <c r="G1982" s="87">
        <v>0</v>
      </c>
      <c r="H1982" s="87" t="str">
        <v/>
      </c>
    </row>
    <row r="1983" spans="2:8" x14ac:dyDescent="0.2">
      <c r="B1983" s="87" t="str">
        <v/>
      </c>
      <c r="G1983" s="87">
        <v>0</v>
      </c>
      <c r="H1983" s="87" t="str">
        <v/>
      </c>
    </row>
    <row r="1984" spans="2:8" x14ac:dyDescent="0.2">
      <c r="B1984" s="87" t="str">
        <v/>
      </c>
      <c r="G1984" s="87">
        <v>0</v>
      </c>
      <c r="H1984" s="87" t="str">
        <v/>
      </c>
    </row>
    <row r="1985" spans="2:8" x14ac:dyDescent="0.2">
      <c r="B1985" s="87" t="str">
        <v/>
      </c>
      <c r="G1985" s="87">
        <v>0</v>
      </c>
      <c r="H1985" s="87" t="str">
        <v/>
      </c>
    </row>
    <row r="1986" spans="2:8" x14ac:dyDescent="0.2">
      <c r="B1986" s="87" t="str">
        <v/>
      </c>
      <c r="G1986" s="87">
        <v>0</v>
      </c>
      <c r="H1986" s="87" t="str">
        <v/>
      </c>
    </row>
    <row r="1987" spans="2:8" x14ac:dyDescent="0.2">
      <c r="B1987" s="87" t="str">
        <v/>
      </c>
      <c r="G1987" s="87">
        <v>0</v>
      </c>
      <c r="H1987" s="87" t="str">
        <v/>
      </c>
    </row>
    <row r="1988" spans="2:8" x14ac:dyDescent="0.2">
      <c r="B1988" s="87" t="str">
        <v/>
      </c>
      <c r="G1988" s="87">
        <v>0</v>
      </c>
      <c r="H1988" s="87" t="str">
        <v/>
      </c>
    </row>
    <row r="1989" spans="2:8" x14ac:dyDescent="0.2">
      <c r="B1989" s="87" t="str">
        <v/>
      </c>
      <c r="G1989" s="87">
        <v>0</v>
      </c>
      <c r="H1989" s="87" t="str">
        <v/>
      </c>
    </row>
    <row r="1990" spans="2:8" x14ac:dyDescent="0.2">
      <c r="B1990" s="87" t="str">
        <v/>
      </c>
      <c r="G1990" s="87">
        <v>0</v>
      </c>
      <c r="H1990" s="87" t="str">
        <v/>
      </c>
    </row>
    <row r="1991" spans="2:8" x14ac:dyDescent="0.2">
      <c r="B1991" s="87" t="str">
        <v/>
      </c>
      <c r="G1991" s="87">
        <v>0</v>
      </c>
      <c r="H1991" s="87" t="str">
        <v/>
      </c>
    </row>
    <row r="1992" spans="2:8" x14ac:dyDescent="0.2">
      <c r="B1992" s="87" t="str">
        <v/>
      </c>
      <c r="G1992" s="87">
        <v>0</v>
      </c>
      <c r="H1992" s="87" t="str">
        <v/>
      </c>
    </row>
    <row r="1993" spans="2:8" x14ac:dyDescent="0.2">
      <c r="B1993" s="87" t="str">
        <v/>
      </c>
      <c r="G1993" s="87">
        <v>0</v>
      </c>
      <c r="H1993" s="87" t="str">
        <v/>
      </c>
    </row>
    <row r="1994" spans="2:8" x14ac:dyDescent="0.2">
      <c r="B1994" s="87" t="str">
        <v/>
      </c>
      <c r="G1994" s="87">
        <v>0</v>
      </c>
      <c r="H1994" s="87" t="str">
        <v/>
      </c>
    </row>
    <row r="1995" spans="2:8" x14ac:dyDescent="0.2">
      <c r="B1995" s="87" t="str">
        <v/>
      </c>
      <c r="G1995" s="87">
        <v>0</v>
      </c>
      <c r="H1995" s="87" t="str">
        <v/>
      </c>
    </row>
    <row r="1996" spans="2:8" x14ac:dyDescent="0.2">
      <c r="B1996" s="87" t="str">
        <v/>
      </c>
      <c r="G1996" s="87">
        <v>0</v>
      </c>
      <c r="H1996" s="87" t="str">
        <v/>
      </c>
    </row>
    <row r="1997" spans="2:8" x14ac:dyDescent="0.2">
      <c r="B1997" s="87" t="str">
        <v/>
      </c>
      <c r="G1997" s="87">
        <v>0</v>
      </c>
      <c r="H1997" s="87" t="str">
        <v/>
      </c>
    </row>
    <row r="1998" spans="2:8" x14ac:dyDescent="0.2">
      <c r="B1998" s="87" t="str">
        <v/>
      </c>
      <c r="G1998" s="87">
        <v>0</v>
      </c>
      <c r="H1998" s="87" t="str">
        <v/>
      </c>
    </row>
    <row r="1999" spans="2:8" x14ac:dyDescent="0.2">
      <c r="B1999" s="87" t="str">
        <v/>
      </c>
      <c r="G1999" s="87">
        <v>0</v>
      </c>
      <c r="H1999" s="87" t="str">
        <v/>
      </c>
    </row>
    <row r="2000" spans="2:8" x14ac:dyDescent="0.2">
      <c r="B2000" s="87" t="str">
        <v/>
      </c>
      <c r="G2000" s="87">
        <v>0</v>
      </c>
      <c r="H2000" s="87" t="str">
        <v/>
      </c>
    </row>
    <row r="2001" spans="2:8" x14ac:dyDescent="0.2">
      <c r="B2001" s="87" t="str">
        <v/>
      </c>
      <c r="G2001" s="87">
        <v>0</v>
      </c>
      <c r="H2001" s="87" t="str">
        <v/>
      </c>
    </row>
    <row r="2002" spans="2:8" x14ac:dyDescent="0.2">
      <c r="B2002" s="87" t="str">
        <v/>
      </c>
      <c r="G2002" s="87">
        <v>0</v>
      </c>
      <c r="H2002" s="87" t="str">
        <v/>
      </c>
    </row>
    <row r="2003" spans="2:8" x14ac:dyDescent="0.2">
      <c r="B2003" s="87" t="str">
        <v/>
      </c>
      <c r="G2003" s="87">
        <v>0</v>
      </c>
      <c r="H2003" s="87" t="str">
        <v/>
      </c>
    </row>
    <row r="2004" spans="2:8" x14ac:dyDescent="0.2">
      <c r="B2004" s="87" t="str">
        <v/>
      </c>
      <c r="G2004" s="87">
        <v>0</v>
      </c>
      <c r="H2004" s="87" t="str">
        <v/>
      </c>
    </row>
    <row r="2005" spans="2:8" x14ac:dyDescent="0.2">
      <c r="B2005" s="87" t="str">
        <v/>
      </c>
      <c r="G2005" s="87">
        <v>0</v>
      </c>
      <c r="H2005" s="87" t="str">
        <v/>
      </c>
    </row>
    <row r="2006" spans="2:8" x14ac:dyDescent="0.2">
      <c r="B2006" s="87" t="str">
        <v/>
      </c>
      <c r="G2006" s="87">
        <v>0</v>
      </c>
      <c r="H2006" s="87" t="str">
        <v/>
      </c>
    </row>
    <row r="2007" spans="2:8" x14ac:dyDescent="0.2">
      <c r="B2007" s="87" t="str">
        <v/>
      </c>
      <c r="G2007" s="87">
        <v>0</v>
      </c>
      <c r="H2007" s="87" t="str">
        <v/>
      </c>
    </row>
    <row r="2008" spans="2:8" x14ac:dyDescent="0.2">
      <c r="B2008" s="87" t="str">
        <v/>
      </c>
      <c r="G2008" s="87">
        <v>0</v>
      </c>
      <c r="H2008" s="87" t="str">
        <v/>
      </c>
    </row>
    <row r="2009" spans="2:8" x14ac:dyDescent="0.2">
      <c r="B2009" s="87" t="str">
        <v/>
      </c>
      <c r="G2009" s="87">
        <v>0</v>
      </c>
      <c r="H2009" s="87" t="str">
        <v/>
      </c>
    </row>
    <row r="2010" spans="2:8" x14ac:dyDescent="0.2">
      <c r="B2010" s="87" t="str">
        <v/>
      </c>
      <c r="G2010" s="87">
        <v>0</v>
      </c>
      <c r="H2010" s="87" t="str">
        <v/>
      </c>
    </row>
    <row r="2011" spans="2:8" x14ac:dyDescent="0.2">
      <c r="B2011" s="87" t="str">
        <v/>
      </c>
      <c r="G2011" s="87">
        <v>0</v>
      </c>
      <c r="H2011" s="87" t="str">
        <v/>
      </c>
    </row>
    <row r="2012" spans="2:8" x14ac:dyDescent="0.2">
      <c r="B2012" s="87" t="str">
        <v/>
      </c>
      <c r="G2012" s="87">
        <v>0</v>
      </c>
      <c r="H2012" s="87" t="str">
        <v/>
      </c>
    </row>
    <row r="2013" spans="2:8" x14ac:dyDescent="0.2">
      <c r="B2013" s="87" t="str">
        <v/>
      </c>
      <c r="G2013" s="87">
        <v>0</v>
      </c>
      <c r="H2013" s="87" t="str">
        <v/>
      </c>
    </row>
    <row r="2014" spans="2:8" x14ac:dyDescent="0.2">
      <c r="B2014" s="87" t="str">
        <v/>
      </c>
      <c r="G2014" s="87">
        <v>0</v>
      </c>
      <c r="H2014" s="87" t="str">
        <v/>
      </c>
    </row>
    <row r="2015" spans="2:8" x14ac:dyDescent="0.2">
      <c r="B2015" s="87" t="str">
        <v/>
      </c>
      <c r="G2015" s="87">
        <v>0</v>
      </c>
      <c r="H2015" s="87" t="str">
        <v/>
      </c>
    </row>
    <row r="2016" spans="2:8" x14ac:dyDescent="0.2">
      <c r="B2016" s="87" t="str">
        <v/>
      </c>
      <c r="G2016" s="87">
        <v>0</v>
      </c>
      <c r="H2016" s="87" t="str">
        <v/>
      </c>
    </row>
    <row r="2017" spans="2:8" x14ac:dyDescent="0.2">
      <c r="B2017" s="87" t="str">
        <v/>
      </c>
      <c r="G2017" s="87">
        <v>0</v>
      </c>
      <c r="H2017" s="87" t="str">
        <v/>
      </c>
    </row>
    <row r="2018" spans="2:8" x14ac:dyDescent="0.2">
      <c r="B2018" s="87" t="str">
        <v/>
      </c>
      <c r="G2018" s="87">
        <v>0</v>
      </c>
      <c r="H2018" s="87" t="str">
        <v/>
      </c>
    </row>
    <row r="2019" spans="2:8" x14ac:dyDescent="0.2">
      <c r="B2019" s="87" t="str">
        <v/>
      </c>
      <c r="G2019" s="87">
        <v>0</v>
      </c>
      <c r="H2019" s="87" t="str">
        <v/>
      </c>
    </row>
    <row r="2020" spans="2:8" x14ac:dyDescent="0.2">
      <c r="B2020" s="87" t="str">
        <v/>
      </c>
      <c r="G2020" s="87">
        <v>0</v>
      </c>
      <c r="H2020" s="87" t="str">
        <v/>
      </c>
    </row>
    <row r="2021" spans="2:8" x14ac:dyDescent="0.2">
      <c r="B2021" s="87" t="str">
        <v/>
      </c>
      <c r="G2021" s="87">
        <v>0</v>
      </c>
      <c r="H2021" s="87" t="str">
        <v/>
      </c>
    </row>
    <row r="2022" spans="2:8" x14ac:dyDescent="0.2">
      <c r="B2022" s="87" t="str">
        <v/>
      </c>
      <c r="G2022" s="87">
        <v>0</v>
      </c>
      <c r="H2022" s="87" t="str">
        <v/>
      </c>
    </row>
    <row r="2023" spans="2:8" x14ac:dyDescent="0.2">
      <c r="B2023" s="87" t="str">
        <v/>
      </c>
      <c r="G2023" s="87">
        <v>0</v>
      </c>
      <c r="H2023" s="87" t="str">
        <v/>
      </c>
    </row>
    <row r="2024" spans="2:8" x14ac:dyDescent="0.2">
      <c r="B2024" s="87" t="str">
        <v/>
      </c>
      <c r="G2024" s="87">
        <v>0</v>
      </c>
      <c r="H2024" s="87" t="str">
        <v/>
      </c>
    </row>
    <row r="2025" spans="2:8" x14ac:dyDescent="0.2">
      <c r="B2025" s="87" t="str">
        <v/>
      </c>
      <c r="G2025" s="87">
        <v>0</v>
      </c>
      <c r="H2025" s="87" t="str">
        <v/>
      </c>
    </row>
    <row r="2026" spans="2:8" x14ac:dyDescent="0.2">
      <c r="B2026" s="87" t="str">
        <v/>
      </c>
      <c r="G2026" s="87">
        <v>0</v>
      </c>
      <c r="H2026" s="87" t="str">
        <v/>
      </c>
    </row>
    <row r="2027" spans="2:8" x14ac:dyDescent="0.2">
      <c r="B2027" s="87" t="str">
        <v/>
      </c>
      <c r="G2027" s="87">
        <v>0</v>
      </c>
      <c r="H2027" s="87" t="str">
        <v/>
      </c>
    </row>
    <row r="2028" spans="2:8" x14ac:dyDescent="0.2">
      <c r="B2028" s="87" t="str">
        <v/>
      </c>
      <c r="G2028" s="87">
        <v>0</v>
      </c>
      <c r="H2028" s="87" t="str">
        <v/>
      </c>
    </row>
    <row r="2029" spans="2:8" x14ac:dyDescent="0.2">
      <c r="B2029" s="87" t="str">
        <v/>
      </c>
      <c r="G2029" s="87">
        <v>0</v>
      </c>
      <c r="H2029" s="87" t="str">
        <v/>
      </c>
    </row>
    <row r="2030" spans="2:8" x14ac:dyDescent="0.2">
      <c r="B2030" s="87" t="str">
        <v/>
      </c>
      <c r="G2030" s="87">
        <v>0</v>
      </c>
      <c r="H2030" s="87" t="str">
        <v/>
      </c>
    </row>
    <row r="2031" spans="2:8" x14ac:dyDescent="0.2">
      <c r="B2031" s="87" t="str">
        <v/>
      </c>
      <c r="G2031" s="87">
        <v>0</v>
      </c>
      <c r="H2031" s="87" t="str">
        <v/>
      </c>
    </row>
    <row r="2032" spans="2:8" x14ac:dyDescent="0.2">
      <c r="B2032" s="87" t="str">
        <v/>
      </c>
      <c r="G2032" s="87">
        <v>0</v>
      </c>
      <c r="H2032" s="87" t="str">
        <v/>
      </c>
    </row>
    <row r="2033" spans="2:8" x14ac:dyDescent="0.2">
      <c r="B2033" s="87" t="str">
        <v/>
      </c>
      <c r="G2033" s="87">
        <v>0</v>
      </c>
      <c r="H2033" s="87" t="str">
        <v/>
      </c>
    </row>
    <row r="2034" spans="2:8" x14ac:dyDescent="0.2">
      <c r="B2034" s="87" t="str">
        <v/>
      </c>
      <c r="G2034" s="87">
        <v>0</v>
      </c>
      <c r="H2034" s="87" t="str">
        <v/>
      </c>
    </row>
    <row r="2035" spans="2:8" x14ac:dyDescent="0.2">
      <c r="B2035" s="87" t="str">
        <v/>
      </c>
      <c r="G2035" s="87">
        <v>0</v>
      </c>
      <c r="H2035" s="87" t="str">
        <v/>
      </c>
    </row>
    <row r="2036" spans="2:8" x14ac:dyDescent="0.2">
      <c r="B2036" s="87" t="str">
        <v/>
      </c>
      <c r="G2036" s="87">
        <v>0</v>
      </c>
      <c r="H2036" s="87" t="str">
        <v/>
      </c>
    </row>
    <row r="2037" spans="2:8" x14ac:dyDescent="0.2">
      <c r="B2037" s="87" t="str">
        <v/>
      </c>
      <c r="G2037" s="87">
        <v>0</v>
      </c>
      <c r="H2037" s="87" t="str">
        <v/>
      </c>
    </row>
    <row r="2038" spans="2:8" x14ac:dyDescent="0.2">
      <c r="B2038" s="87" t="str">
        <v/>
      </c>
      <c r="G2038" s="87">
        <v>0</v>
      </c>
      <c r="H2038" s="87" t="str">
        <v/>
      </c>
    </row>
    <row r="2039" spans="2:8" x14ac:dyDescent="0.2">
      <c r="B2039" s="87" t="str">
        <v/>
      </c>
      <c r="G2039" s="87">
        <v>0</v>
      </c>
      <c r="H2039" s="87" t="str">
        <v/>
      </c>
    </row>
    <row r="2040" spans="2:8" x14ac:dyDescent="0.2">
      <c r="B2040" s="87" t="str">
        <v/>
      </c>
      <c r="G2040" s="87">
        <v>0</v>
      </c>
      <c r="H2040" s="87" t="str">
        <v/>
      </c>
    </row>
    <row r="2041" spans="2:8" x14ac:dyDescent="0.2">
      <c r="B2041" s="87" t="str">
        <v/>
      </c>
      <c r="G2041" s="87">
        <v>0</v>
      </c>
      <c r="H2041" s="87" t="str">
        <v/>
      </c>
    </row>
    <row r="2042" spans="2:8" x14ac:dyDescent="0.2">
      <c r="B2042" s="87" t="str">
        <v/>
      </c>
      <c r="G2042" s="87">
        <v>0</v>
      </c>
      <c r="H2042" s="87" t="str">
        <v/>
      </c>
    </row>
    <row r="2043" spans="2:8" x14ac:dyDescent="0.2">
      <c r="B2043" s="87" t="str">
        <v/>
      </c>
      <c r="G2043" s="87">
        <v>0</v>
      </c>
      <c r="H2043" s="87" t="str">
        <v/>
      </c>
    </row>
    <row r="2044" spans="2:8" x14ac:dyDescent="0.2">
      <c r="B2044" s="87" t="str">
        <v/>
      </c>
      <c r="G2044" s="87">
        <v>0</v>
      </c>
      <c r="H2044" s="87" t="str">
        <v/>
      </c>
    </row>
    <row r="2045" spans="2:8" x14ac:dyDescent="0.2">
      <c r="B2045" s="87" t="str">
        <v/>
      </c>
      <c r="G2045" s="87">
        <v>0</v>
      </c>
      <c r="H2045" s="87" t="str">
        <v/>
      </c>
    </row>
    <row r="2046" spans="2:8" x14ac:dyDescent="0.2">
      <c r="B2046" s="87" t="str">
        <v/>
      </c>
      <c r="G2046" s="87">
        <v>0</v>
      </c>
      <c r="H2046" s="87" t="str">
        <v/>
      </c>
    </row>
    <row r="2047" spans="2:8" x14ac:dyDescent="0.2">
      <c r="B2047" s="87" t="str">
        <v/>
      </c>
      <c r="G2047" s="87">
        <v>0</v>
      </c>
      <c r="H2047" s="87" t="str">
        <v/>
      </c>
    </row>
    <row r="2048" spans="2:8" x14ac:dyDescent="0.2">
      <c r="B2048" s="87" t="str">
        <v/>
      </c>
      <c r="G2048" s="87">
        <v>0</v>
      </c>
      <c r="H2048" s="87" t="str">
        <v/>
      </c>
    </row>
    <row r="2049" spans="2:8" x14ac:dyDescent="0.2">
      <c r="B2049" s="87" t="str">
        <v/>
      </c>
      <c r="G2049" s="87">
        <v>0</v>
      </c>
      <c r="H2049" s="87" t="str">
        <v/>
      </c>
    </row>
    <row r="2050" spans="2:8" x14ac:dyDescent="0.2">
      <c r="B2050" s="87" t="str">
        <v/>
      </c>
      <c r="G2050" s="87">
        <v>0</v>
      </c>
      <c r="H2050" s="87" t="str">
        <v/>
      </c>
    </row>
    <row r="2051" spans="2:8" x14ac:dyDescent="0.2">
      <c r="B2051" s="87" t="str">
        <v/>
      </c>
      <c r="G2051" s="87">
        <v>0</v>
      </c>
      <c r="H2051" s="87" t="str">
        <v/>
      </c>
    </row>
    <row r="2052" spans="2:8" x14ac:dyDescent="0.2">
      <c r="B2052" s="87" t="str">
        <v/>
      </c>
      <c r="G2052" s="87">
        <v>0</v>
      </c>
      <c r="H2052" s="87" t="str">
        <v/>
      </c>
    </row>
    <row r="2053" spans="2:8" x14ac:dyDescent="0.2">
      <c r="B2053" s="87" t="str">
        <v/>
      </c>
      <c r="G2053" s="87">
        <v>0</v>
      </c>
      <c r="H2053" s="87" t="str">
        <v/>
      </c>
    </row>
    <row r="2054" spans="2:8" x14ac:dyDescent="0.2">
      <c r="B2054" s="87" t="str">
        <v/>
      </c>
      <c r="G2054" s="87">
        <v>0</v>
      </c>
      <c r="H2054" s="87" t="str">
        <v/>
      </c>
    </row>
    <row r="2055" spans="2:8" x14ac:dyDescent="0.2">
      <c r="B2055" s="87" t="str">
        <v/>
      </c>
      <c r="G2055" s="87">
        <v>0</v>
      </c>
      <c r="H2055" s="87" t="str">
        <v/>
      </c>
    </row>
    <row r="2056" spans="2:8" x14ac:dyDescent="0.2">
      <c r="B2056" s="87" t="str">
        <v/>
      </c>
      <c r="G2056" s="87">
        <v>0</v>
      </c>
      <c r="H2056" s="87" t="str">
        <v/>
      </c>
    </row>
    <row r="2057" spans="2:8" x14ac:dyDescent="0.2">
      <c r="B2057" s="87" t="str">
        <v/>
      </c>
      <c r="G2057" s="87">
        <v>0</v>
      </c>
      <c r="H2057" s="87" t="str">
        <v/>
      </c>
    </row>
    <row r="2058" spans="2:8" x14ac:dyDescent="0.2">
      <c r="B2058" s="87" t="str">
        <v/>
      </c>
      <c r="G2058" s="87">
        <v>0</v>
      </c>
      <c r="H2058" s="87" t="str">
        <v/>
      </c>
    </row>
    <row r="2059" spans="2:8" x14ac:dyDescent="0.2">
      <c r="B2059" s="87" t="str">
        <v/>
      </c>
      <c r="G2059" s="87">
        <v>0</v>
      </c>
      <c r="H2059" s="87" t="str">
        <v/>
      </c>
    </row>
    <row r="2060" spans="2:8" x14ac:dyDescent="0.2">
      <c r="B2060" s="87" t="str">
        <v/>
      </c>
      <c r="G2060" s="87">
        <v>0</v>
      </c>
      <c r="H2060" s="87" t="str">
        <v/>
      </c>
    </row>
    <row r="2061" spans="2:8" x14ac:dyDescent="0.2">
      <c r="B2061" s="87" t="str">
        <v/>
      </c>
      <c r="G2061" s="87">
        <v>0</v>
      </c>
      <c r="H2061" s="87" t="str">
        <v/>
      </c>
    </row>
    <row r="2062" spans="2:8" x14ac:dyDescent="0.2">
      <c r="B2062" s="87" t="str">
        <v/>
      </c>
      <c r="G2062" s="87">
        <v>0</v>
      </c>
      <c r="H2062" s="87" t="str">
        <v/>
      </c>
    </row>
    <row r="2063" spans="2:8" x14ac:dyDescent="0.2">
      <c r="B2063" s="87" t="str">
        <v/>
      </c>
      <c r="G2063" s="87">
        <v>0</v>
      </c>
      <c r="H2063" s="87" t="str">
        <v/>
      </c>
    </row>
    <row r="2064" spans="2:8" x14ac:dyDescent="0.2">
      <c r="B2064" s="87" t="str">
        <v/>
      </c>
      <c r="G2064" s="87">
        <v>0</v>
      </c>
      <c r="H2064" s="87" t="str">
        <v/>
      </c>
    </row>
    <row r="2065" spans="2:8" x14ac:dyDescent="0.2">
      <c r="B2065" s="87" t="str">
        <v/>
      </c>
      <c r="G2065" s="87">
        <v>0</v>
      </c>
      <c r="H2065" s="87" t="str">
        <v/>
      </c>
    </row>
    <row r="2066" spans="2:8" x14ac:dyDescent="0.2">
      <c r="B2066" s="87" t="str">
        <v/>
      </c>
      <c r="G2066" s="87">
        <v>0</v>
      </c>
      <c r="H2066" s="87" t="str">
        <v/>
      </c>
    </row>
    <row r="2067" spans="2:8" x14ac:dyDescent="0.2">
      <c r="B2067" s="87" t="str">
        <v/>
      </c>
      <c r="G2067" s="87">
        <v>0</v>
      </c>
      <c r="H2067" s="87" t="str">
        <v/>
      </c>
    </row>
    <row r="2068" spans="2:8" x14ac:dyDescent="0.2">
      <c r="B2068" s="87" t="str">
        <v/>
      </c>
      <c r="G2068" s="87">
        <v>0</v>
      </c>
      <c r="H2068" s="87" t="str">
        <v/>
      </c>
    </row>
    <row r="2069" spans="2:8" x14ac:dyDescent="0.2">
      <c r="B2069" s="87" t="str">
        <v/>
      </c>
      <c r="G2069" s="87">
        <v>0</v>
      </c>
      <c r="H2069" s="87" t="str">
        <v/>
      </c>
    </row>
    <row r="2070" spans="2:8" x14ac:dyDescent="0.2">
      <c r="B2070" s="87" t="str">
        <v/>
      </c>
      <c r="G2070" s="87">
        <v>0</v>
      </c>
      <c r="H2070" s="87" t="str">
        <v/>
      </c>
    </row>
    <row r="2071" spans="2:8" x14ac:dyDescent="0.2">
      <c r="B2071" s="87" t="str">
        <v/>
      </c>
      <c r="G2071" s="87">
        <v>0</v>
      </c>
      <c r="H2071" s="87" t="str">
        <v/>
      </c>
    </row>
    <row r="2072" spans="2:8" x14ac:dyDescent="0.2">
      <c r="B2072" s="87" t="str">
        <v/>
      </c>
      <c r="G2072" s="87">
        <v>0</v>
      </c>
      <c r="H2072" s="87" t="str">
        <v/>
      </c>
    </row>
    <row r="2073" spans="2:8" x14ac:dyDescent="0.2">
      <c r="B2073" s="87" t="str">
        <v/>
      </c>
      <c r="G2073" s="87">
        <v>0</v>
      </c>
      <c r="H2073" s="87" t="str">
        <v/>
      </c>
    </row>
    <row r="2074" spans="2:8" x14ac:dyDescent="0.2">
      <c r="B2074" s="87" t="str">
        <v/>
      </c>
      <c r="G2074" s="87">
        <v>0</v>
      </c>
      <c r="H2074" s="87" t="str">
        <v/>
      </c>
    </row>
    <row r="2075" spans="2:8" x14ac:dyDescent="0.2">
      <c r="B2075" s="87" t="str">
        <v/>
      </c>
      <c r="G2075" s="87">
        <v>0</v>
      </c>
      <c r="H2075" s="87" t="str">
        <v/>
      </c>
    </row>
    <row r="2076" spans="2:8" x14ac:dyDescent="0.2">
      <c r="B2076" s="87" t="str">
        <v/>
      </c>
      <c r="G2076" s="87">
        <v>0</v>
      </c>
      <c r="H2076" s="87" t="str">
        <v/>
      </c>
    </row>
    <row r="2077" spans="2:8" x14ac:dyDescent="0.2">
      <c r="B2077" s="87" t="str">
        <v/>
      </c>
      <c r="G2077" s="87">
        <v>0</v>
      </c>
      <c r="H2077" s="87" t="str">
        <v/>
      </c>
    </row>
    <row r="2078" spans="2:8" x14ac:dyDescent="0.2">
      <c r="B2078" s="87" t="str">
        <v/>
      </c>
      <c r="G2078" s="87">
        <v>0</v>
      </c>
      <c r="H2078" s="87" t="str">
        <v/>
      </c>
    </row>
    <row r="2079" spans="2:8" x14ac:dyDescent="0.2">
      <c r="B2079" s="87" t="str">
        <v/>
      </c>
      <c r="G2079" s="87">
        <v>0</v>
      </c>
      <c r="H2079" s="87" t="str">
        <v/>
      </c>
    </row>
    <row r="2080" spans="2:8" x14ac:dyDescent="0.2">
      <c r="B2080" s="87" t="str">
        <v/>
      </c>
      <c r="G2080" s="87">
        <v>0</v>
      </c>
      <c r="H2080" s="87" t="str">
        <v/>
      </c>
    </row>
    <row r="2081" spans="2:8" x14ac:dyDescent="0.2">
      <c r="B2081" s="87" t="str">
        <v/>
      </c>
      <c r="G2081" s="87">
        <v>0</v>
      </c>
      <c r="H2081" s="87" t="str">
        <v/>
      </c>
    </row>
    <row r="2082" spans="2:8" x14ac:dyDescent="0.2">
      <c r="B2082" s="87" t="str">
        <v/>
      </c>
      <c r="G2082" s="87">
        <v>0</v>
      </c>
      <c r="H2082" s="87" t="str">
        <v/>
      </c>
    </row>
    <row r="2083" spans="2:8" x14ac:dyDescent="0.2">
      <c r="B2083" s="87" t="str">
        <v/>
      </c>
      <c r="G2083" s="87">
        <v>0</v>
      </c>
      <c r="H2083" s="87" t="str">
        <v/>
      </c>
    </row>
    <row r="2084" spans="2:8" x14ac:dyDescent="0.2">
      <c r="B2084" s="87" t="str">
        <v/>
      </c>
      <c r="G2084" s="87">
        <v>0</v>
      </c>
      <c r="H2084" s="87" t="str">
        <v/>
      </c>
    </row>
    <row r="2085" spans="2:8" x14ac:dyDescent="0.2">
      <c r="B2085" s="87" t="str">
        <v/>
      </c>
      <c r="G2085" s="87">
        <v>0</v>
      </c>
      <c r="H2085" s="87" t="str">
        <v/>
      </c>
    </row>
    <row r="2086" spans="2:8" x14ac:dyDescent="0.2">
      <c r="B2086" s="87" t="str">
        <v/>
      </c>
      <c r="G2086" s="87">
        <v>0</v>
      </c>
      <c r="H2086" s="87" t="str">
        <v/>
      </c>
    </row>
    <row r="2087" spans="2:8" x14ac:dyDescent="0.2">
      <c r="B2087" s="87" t="str">
        <v/>
      </c>
      <c r="G2087" s="87">
        <v>0</v>
      </c>
      <c r="H2087" s="87" t="str">
        <v/>
      </c>
    </row>
    <row r="2088" spans="2:8" x14ac:dyDescent="0.2">
      <c r="B2088" s="87" t="str">
        <v/>
      </c>
      <c r="G2088" s="87">
        <v>0</v>
      </c>
      <c r="H2088" s="87" t="str">
        <v/>
      </c>
    </row>
    <row r="2089" spans="2:8" x14ac:dyDescent="0.2">
      <c r="B2089" s="87" t="str">
        <v/>
      </c>
      <c r="G2089" s="87">
        <v>0</v>
      </c>
      <c r="H2089" s="87" t="str">
        <v/>
      </c>
    </row>
    <row r="2090" spans="2:8" x14ac:dyDescent="0.2">
      <c r="B2090" s="87" t="str">
        <v/>
      </c>
      <c r="G2090" s="87">
        <v>0</v>
      </c>
      <c r="H2090" s="87" t="str">
        <v/>
      </c>
    </row>
    <row r="2091" spans="2:8" x14ac:dyDescent="0.2">
      <c r="B2091" s="87" t="str">
        <v/>
      </c>
      <c r="G2091" s="87">
        <v>0</v>
      </c>
      <c r="H2091" s="87" t="str">
        <v/>
      </c>
    </row>
    <row r="2092" spans="2:8" x14ac:dyDescent="0.2">
      <c r="B2092" s="87" t="str">
        <v/>
      </c>
      <c r="G2092" s="87">
        <v>0</v>
      </c>
      <c r="H2092" s="87" t="str">
        <v/>
      </c>
    </row>
    <row r="2093" spans="2:8" x14ac:dyDescent="0.2">
      <c r="B2093" s="87" t="str">
        <v/>
      </c>
      <c r="G2093" s="87">
        <v>0</v>
      </c>
      <c r="H2093" s="87" t="str">
        <v/>
      </c>
    </row>
    <row r="2094" spans="2:8" x14ac:dyDescent="0.2">
      <c r="B2094" s="87" t="str">
        <v/>
      </c>
      <c r="G2094" s="87">
        <v>0</v>
      </c>
      <c r="H2094" s="87" t="str">
        <v/>
      </c>
    </row>
    <row r="2095" spans="2:8" x14ac:dyDescent="0.2">
      <c r="B2095" s="87" t="str">
        <v/>
      </c>
      <c r="G2095" s="87">
        <v>0</v>
      </c>
      <c r="H2095" s="87" t="str">
        <v/>
      </c>
    </row>
    <row r="2096" spans="2:8" x14ac:dyDescent="0.2">
      <c r="B2096" s="87" t="str">
        <v/>
      </c>
      <c r="G2096" s="87">
        <v>0</v>
      </c>
      <c r="H2096" s="87" t="str">
        <v/>
      </c>
    </row>
    <row r="2097" spans="2:8" x14ac:dyDescent="0.2">
      <c r="B2097" s="87" t="str">
        <v/>
      </c>
      <c r="G2097" s="87">
        <v>0</v>
      </c>
      <c r="H2097" s="87" t="str">
        <v/>
      </c>
    </row>
    <row r="2098" spans="2:8" x14ac:dyDescent="0.2">
      <c r="B2098" s="87" t="str">
        <v/>
      </c>
      <c r="G2098" s="87">
        <v>0</v>
      </c>
      <c r="H2098" s="87" t="str">
        <v/>
      </c>
    </row>
    <row r="2099" spans="2:8" x14ac:dyDescent="0.2">
      <c r="B2099" s="87" t="str">
        <v/>
      </c>
      <c r="G2099" s="87">
        <v>0</v>
      </c>
      <c r="H2099" s="87" t="str">
        <v/>
      </c>
    </row>
    <row r="2100" spans="2:8" x14ac:dyDescent="0.2">
      <c r="B2100" s="87" t="str">
        <v/>
      </c>
      <c r="G2100" s="87">
        <v>0</v>
      </c>
      <c r="H2100" s="87" t="str">
        <v/>
      </c>
    </row>
    <row r="2101" spans="2:8" x14ac:dyDescent="0.2">
      <c r="B2101" s="87" t="str">
        <v/>
      </c>
      <c r="G2101" s="87">
        <v>0</v>
      </c>
      <c r="H2101" s="87" t="str">
        <v/>
      </c>
    </row>
    <row r="2102" spans="2:8" x14ac:dyDescent="0.2">
      <c r="B2102" s="87" t="str">
        <v/>
      </c>
      <c r="G2102" s="87">
        <v>0</v>
      </c>
      <c r="H2102" s="87" t="str">
        <v/>
      </c>
    </row>
    <row r="2103" spans="2:8" x14ac:dyDescent="0.2">
      <c r="B2103" s="87" t="str">
        <v/>
      </c>
      <c r="G2103" s="87">
        <v>0</v>
      </c>
      <c r="H2103" s="87" t="str">
        <v/>
      </c>
    </row>
    <row r="2104" spans="2:8" x14ac:dyDescent="0.2">
      <c r="B2104" s="87" t="str">
        <v/>
      </c>
      <c r="G2104" s="87">
        <v>0</v>
      </c>
      <c r="H2104" s="87" t="str">
        <v/>
      </c>
    </row>
    <row r="2105" spans="2:8" x14ac:dyDescent="0.2">
      <c r="B2105" s="87" t="str">
        <v/>
      </c>
      <c r="G2105" s="87">
        <v>0</v>
      </c>
      <c r="H2105" s="87" t="str">
        <v/>
      </c>
    </row>
    <row r="2106" spans="2:8" x14ac:dyDescent="0.2">
      <c r="B2106" s="87" t="str">
        <v/>
      </c>
      <c r="G2106" s="87">
        <v>0</v>
      </c>
      <c r="H2106" s="87" t="str">
        <v/>
      </c>
    </row>
    <row r="2107" spans="2:8" x14ac:dyDescent="0.2">
      <c r="B2107" s="87" t="str">
        <v/>
      </c>
      <c r="G2107" s="87">
        <v>0</v>
      </c>
      <c r="H2107" s="87" t="str">
        <v/>
      </c>
    </row>
    <row r="2108" spans="2:8" x14ac:dyDescent="0.2">
      <c r="B2108" s="87" t="str">
        <v/>
      </c>
      <c r="G2108" s="87">
        <v>0</v>
      </c>
      <c r="H2108" s="87" t="str">
        <v/>
      </c>
    </row>
    <row r="2109" spans="2:8" x14ac:dyDescent="0.2">
      <c r="B2109" s="87" t="str">
        <v/>
      </c>
      <c r="G2109" s="87">
        <v>0</v>
      </c>
      <c r="H2109" s="87" t="str">
        <v/>
      </c>
    </row>
    <row r="2110" spans="2:8" x14ac:dyDescent="0.2">
      <c r="B2110" s="87" t="str">
        <v/>
      </c>
      <c r="G2110" s="87">
        <v>0</v>
      </c>
      <c r="H2110" s="87" t="str">
        <v/>
      </c>
    </row>
    <row r="2111" spans="2:8" x14ac:dyDescent="0.2">
      <c r="B2111" s="87" t="str">
        <v/>
      </c>
      <c r="G2111" s="87">
        <v>0</v>
      </c>
      <c r="H2111" s="87" t="str">
        <v/>
      </c>
    </row>
    <row r="2112" spans="2:8" x14ac:dyDescent="0.2">
      <c r="B2112" s="87" t="str">
        <v/>
      </c>
      <c r="G2112" s="87">
        <v>0</v>
      </c>
      <c r="H2112" s="87" t="str">
        <v/>
      </c>
    </row>
    <row r="2113" spans="2:8" x14ac:dyDescent="0.2">
      <c r="B2113" s="87" t="str">
        <v/>
      </c>
      <c r="G2113" s="87">
        <v>0</v>
      </c>
      <c r="H2113" s="87" t="str">
        <v/>
      </c>
    </row>
    <row r="2114" spans="2:8" x14ac:dyDescent="0.2">
      <c r="B2114" s="87" t="str">
        <v/>
      </c>
      <c r="G2114" s="87">
        <v>0</v>
      </c>
      <c r="H2114" s="87" t="str">
        <v/>
      </c>
    </row>
    <row r="2115" spans="2:8" x14ac:dyDescent="0.2">
      <c r="B2115" s="87" t="str">
        <v/>
      </c>
      <c r="G2115" s="87">
        <v>0</v>
      </c>
      <c r="H2115" s="87" t="str">
        <v/>
      </c>
    </row>
    <row r="2116" spans="2:8" x14ac:dyDescent="0.2">
      <c r="B2116" s="87" t="str">
        <v/>
      </c>
      <c r="G2116" s="87">
        <v>0</v>
      </c>
      <c r="H2116" s="87" t="str">
        <v/>
      </c>
    </row>
    <row r="2117" spans="2:8" x14ac:dyDescent="0.2">
      <c r="B2117" s="87" t="str">
        <v/>
      </c>
      <c r="G2117" s="87">
        <v>0</v>
      </c>
      <c r="H2117" s="87" t="str">
        <v/>
      </c>
    </row>
    <row r="2118" spans="2:8" x14ac:dyDescent="0.2">
      <c r="B2118" s="87" t="str">
        <v/>
      </c>
      <c r="G2118" s="87">
        <v>0</v>
      </c>
      <c r="H2118" s="87" t="str">
        <v/>
      </c>
    </row>
    <row r="2119" spans="2:8" x14ac:dyDescent="0.2">
      <c r="B2119" s="87" t="str">
        <v/>
      </c>
      <c r="G2119" s="87">
        <v>0</v>
      </c>
      <c r="H2119" s="87" t="str">
        <v/>
      </c>
    </row>
    <row r="2120" spans="2:8" x14ac:dyDescent="0.2">
      <c r="B2120" s="87" t="str">
        <v/>
      </c>
      <c r="G2120" s="87">
        <v>0</v>
      </c>
      <c r="H2120" s="87" t="str">
        <v/>
      </c>
    </row>
    <row r="2121" spans="2:8" x14ac:dyDescent="0.2">
      <c r="B2121" s="87" t="str">
        <v/>
      </c>
      <c r="G2121" s="87">
        <v>0</v>
      </c>
      <c r="H2121" s="87" t="str">
        <v/>
      </c>
    </row>
    <row r="2122" spans="2:8" x14ac:dyDescent="0.2">
      <c r="B2122" s="87" t="str">
        <v/>
      </c>
      <c r="G2122" s="87">
        <v>0</v>
      </c>
      <c r="H2122" s="87" t="str">
        <v/>
      </c>
    </row>
    <row r="2123" spans="2:8" x14ac:dyDescent="0.2">
      <c r="B2123" s="87" t="str">
        <v/>
      </c>
      <c r="G2123" s="87">
        <v>0</v>
      </c>
      <c r="H2123" s="87" t="str">
        <v/>
      </c>
    </row>
    <row r="2124" spans="2:8" x14ac:dyDescent="0.2">
      <c r="B2124" s="87" t="str">
        <v/>
      </c>
      <c r="G2124" s="87">
        <v>0</v>
      </c>
      <c r="H2124" s="87" t="str">
        <v/>
      </c>
    </row>
    <row r="2125" spans="2:8" x14ac:dyDescent="0.2">
      <c r="B2125" s="87" t="str">
        <v/>
      </c>
      <c r="G2125" s="87">
        <v>0</v>
      </c>
      <c r="H2125" s="87" t="str">
        <v/>
      </c>
    </row>
    <row r="2126" spans="2:8" x14ac:dyDescent="0.2">
      <c r="B2126" s="87" t="str">
        <v/>
      </c>
      <c r="G2126" s="87">
        <v>0</v>
      </c>
      <c r="H2126" s="87" t="str">
        <v/>
      </c>
    </row>
    <row r="2127" spans="2:8" x14ac:dyDescent="0.2">
      <c r="B2127" s="87" t="str">
        <v/>
      </c>
      <c r="G2127" s="87">
        <v>0</v>
      </c>
      <c r="H2127" s="87" t="str">
        <v/>
      </c>
    </row>
    <row r="2128" spans="2:8" x14ac:dyDescent="0.2">
      <c r="B2128" s="87" t="str">
        <v/>
      </c>
      <c r="G2128" s="87">
        <v>0</v>
      </c>
      <c r="H2128" s="87" t="str">
        <v/>
      </c>
    </row>
    <row r="2129" spans="2:8" x14ac:dyDescent="0.2">
      <c r="B2129" s="87" t="str">
        <v/>
      </c>
      <c r="G2129" s="87">
        <v>0</v>
      </c>
      <c r="H2129" s="87" t="str">
        <v/>
      </c>
    </row>
    <row r="2130" spans="2:8" x14ac:dyDescent="0.2">
      <c r="B2130" s="87" t="str">
        <v/>
      </c>
      <c r="G2130" s="87">
        <v>0</v>
      </c>
      <c r="H2130" s="87" t="str">
        <v/>
      </c>
    </row>
    <row r="2131" spans="2:8" x14ac:dyDescent="0.2">
      <c r="B2131" s="87" t="str">
        <v/>
      </c>
      <c r="G2131" s="87">
        <v>0</v>
      </c>
      <c r="H2131" s="87" t="str">
        <v/>
      </c>
    </row>
    <row r="2132" spans="2:8" x14ac:dyDescent="0.2">
      <c r="B2132" s="87" t="str">
        <v/>
      </c>
      <c r="G2132" s="87">
        <v>0</v>
      </c>
      <c r="H2132" s="87" t="str">
        <v/>
      </c>
    </row>
    <row r="2133" spans="2:8" x14ac:dyDescent="0.2">
      <c r="B2133" s="87" t="str">
        <v/>
      </c>
      <c r="G2133" s="87">
        <v>0</v>
      </c>
      <c r="H2133" s="87" t="str">
        <v/>
      </c>
    </row>
    <row r="2134" spans="2:8" x14ac:dyDescent="0.2">
      <c r="B2134" s="87" t="str">
        <v/>
      </c>
      <c r="G2134" s="87">
        <v>0</v>
      </c>
      <c r="H2134" s="87" t="str">
        <v/>
      </c>
    </row>
    <row r="2135" spans="2:8" x14ac:dyDescent="0.2">
      <c r="B2135" s="87" t="str">
        <v/>
      </c>
      <c r="G2135" s="87">
        <v>0</v>
      </c>
      <c r="H2135" s="87" t="str">
        <v/>
      </c>
    </row>
    <row r="2136" spans="2:8" x14ac:dyDescent="0.2">
      <c r="B2136" s="87" t="str">
        <v/>
      </c>
      <c r="G2136" s="87">
        <v>0</v>
      </c>
      <c r="H2136" s="87" t="str">
        <v/>
      </c>
    </row>
    <row r="2137" spans="2:8" x14ac:dyDescent="0.2">
      <c r="B2137" s="87" t="str">
        <v/>
      </c>
      <c r="G2137" s="87">
        <v>0</v>
      </c>
      <c r="H2137" s="87" t="str">
        <v/>
      </c>
    </row>
    <row r="2138" spans="2:8" x14ac:dyDescent="0.2">
      <c r="B2138" s="87" t="str">
        <v/>
      </c>
      <c r="G2138" s="87">
        <v>0</v>
      </c>
      <c r="H2138" s="87" t="str">
        <v/>
      </c>
    </row>
    <row r="2139" spans="2:8" x14ac:dyDescent="0.2">
      <c r="B2139" s="87" t="str">
        <v/>
      </c>
      <c r="G2139" s="87">
        <v>0</v>
      </c>
      <c r="H2139" s="87" t="str">
        <v/>
      </c>
    </row>
    <row r="2140" spans="2:8" x14ac:dyDescent="0.2">
      <c r="B2140" s="87" t="str">
        <v/>
      </c>
      <c r="G2140" s="87">
        <v>0</v>
      </c>
      <c r="H2140" s="87" t="str">
        <v/>
      </c>
    </row>
    <row r="2141" spans="2:8" x14ac:dyDescent="0.2">
      <c r="B2141" s="87" t="str">
        <v/>
      </c>
      <c r="G2141" s="87">
        <v>0</v>
      </c>
      <c r="H2141" s="87" t="str">
        <v/>
      </c>
    </row>
    <row r="2142" spans="2:8" x14ac:dyDescent="0.2">
      <c r="B2142" s="87" t="str">
        <v/>
      </c>
      <c r="G2142" s="87">
        <v>0</v>
      </c>
      <c r="H2142" s="87" t="str">
        <v/>
      </c>
    </row>
    <row r="2143" spans="2:8" x14ac:dyDescent="0.2">
      <c r="B2143" s="87" t="str">
        <v/>
      </c>
      <c r="G2143" s="87">
        <v>0</v>
      </c>
      <c r="H2143" s="87" t="str">
        <v/>
      </c>
    </row>
    <row r="2144" spans="2:8" x14ac:dyDescent="0.2">
      <c r="B2144" s="87" t="str">
        <v/>
      </c>
      <c r="G2144" s="87">
        <v>0</v>
      </c>
      <c r="H2144" s="87" t="str">
        <v/>
      </c>
    </row>
    <row r="2145" spans="2:8" x14ac:dyDescent="0.2">
      <c r="B2145" s="87" t="str">
        <v/>
      </c>
      <c r="G2145" s="87">
        <v>0</v>
      </c>
      <c r="H2145" s="87" t="str">
        <v/>
      </c>
    </row>
    <row r="2146" spans="2:8" x14ac:dyDescent="0.2">
      <c r="B2146" s="87" t="str">
        <v/>
      </c>
      <c r="G2146" s="87">
        <v>0</v>
      </c>
      <c r="H2146" s="87" t="str">
        <v/>
      </c>
    </row>
    <row r="2147" spans="2:8" x14ac:dyDescent="0.2">
      <c r="B2147" s="87" t="str">
        <v/>
      </c>
      <c r="G2147" s="87">
        <v>0</v>
      </c>
      <c r="H2147" s="87" t="str">
        <v/>
      </c>
    </row>
    <row r="2148" spans="2:8" x14ac:dyDescent="0.2">
      <c r="B2148" s="87" t="str">
        <v/>
      </c>
      <c r="G2148" s="87">
        <v>0</v>
      </c>
      <c r="H2148" s="87" t="str">
        <v/>
      </c>
    </row>
    <row r="2149" spans="2:8" x14ac:dyDescent="0.2">
      <c r="B2149" s="87" t="str">
        <v/>
      </c>
      <c r="G2149" s="87">
        <v>0</v>
      </c>
      <c r="H2149" s="87" t="str">
        <v/>
      </c>
    </row>
    <row r="2150" spans="2:8" x14ac:dyDescent="0.2">
      <c r="B2150" s="87" t="str">
        <v/>
      </c>
      <c r="G2150" s="87">
        <v>0</v>
      </c>
      <c r="H2150" s="87" t="str">
        <v/>
      </c>
    </row>
    <row r="2151" spans="2:8" x14ac:dyDescent="0.2">
      <c r="B2151" s="87" t="str">
        <v/>
      </c>
      <c r="G2151" s="87">
        <v>0</v>
      </c>
      <c r="H2151" s="87" t="str">
        <v/>
      </c>
    </row>
    <row r="2152" spans="2:8" x14ac:dyDescent="0.2">
      <c r="B2152" s="87" t="str">
        <v/>
      </c>
      <c r="G2152" s="87">
        <v>0</v>
      </c>
      <c r="H2152" s="87" t="str">
        <v/>
      </c>
    </row>
    <row r="2153" spans="2:8" x14ac:dyDescent="0.2">
      <c r="B2153" s="87" t="str">
        <v/>
      </c>
      <c r="G2153" s="87">
        <v>0</v>
      </c>
      <c r="H2153" s="87" t="str">
        <v/>
      </c>
    </row>
    <row r="2154" spans="2:8" x14ac:dyDescent="0.2">
      <c r="B2154" s="87" t="str">
        <v/>
      </c>
      <c r="G2154" s="87">
        <v>0</v>
      </c>
      <c r="H2154" s="87" t="str">
        <v/>
      </c>
    </row>
    <row r="2155" spans="2:8" x14ac:dyDescent="0.2">
      <c r="B2155" s="87" t="str">
        <v/>
      </c>
      <c r="G2155" s="87">
        <v>0</v>
      </c>
      <c r="H2155" s="87" t="str">
        <v/>
      </c>
    </row>
    <row r="2156" spans="2:8" x14ac:dyDescent="0.2">
      <c r="B2156" s="87" t="str">
        <v/>
      </c>
      <c r="G2156" s="87">
        <v>0</v>
      </c>
      <c r="H2156" s="87" t="str">
        <v/>
      </c>
    </row>
    <row r="2157" spans="2:8" x14ac:dyDescent="0.2">
      <c r="B2157" s="87" t="str">
        <v/>
      </c>
      <c r="G2157" s="87">
        <v>0</v>
      </c>
      <c r="H2157" s="87" t="str">
        <v/>
      </c>
    </row>
    <row r="2158" spans="2:8" x14ac:dyDescent="0.2">
      <c r="B2158" s="87" t="str">
        <v/>
      </c>
      <c r="G2158" s="87">
        <v>0</v>
      </c>
      <c r="H2158" s="87" t="str">
        <v/>
      </c>
    </row>
    <row r="2159" spans="2:8" x14ac:dyDescent="0.2">
      <c r="B2159" s="87" t="str">
        <v/>
      </c>
      <c r="G2159" s="87">
        <v>0</v>
      </c>
      <c r="H2159" s="87" t="str">
        <v/>
      </c>
    </row>
    <row r="2160" spans="2:8" x14ac:dyDescent="0.2">
      <c r="B2160" s="87" t="str">
        <v/>
      </c>
      <c r="G2160" s="87">
        <v>0</v>
      </c>
      <c r="H2160" s="87" t="str">
        <v/>
      </c>
    </row>
    <row r="2161" spans="2:8" x14ac:dyDescent="0.2">
      <c r="B2161" s="87" t="str">
        <v/>
      </c>
      <c r="G2161" s="87">
        <v>0</v>
      </c>
      <c r="H2161" s="87" t="str">
        <v/>
      </c>
    </row>
    <row r="2162" spans="2:8" x14ac:dyDescent="0.2">
      <c r="B2162" s="87" t="str">
        <v/>
      </c>
      <c r="G2162" s="87">
        <v>0</v>
      </c>
      <c r="H2162" s="87" t="str">
        <v/>
      </c>
    </row>
    <row r="2163" spans="2:8" x14ac:dyDescent="0.2">
      <c r="B2163" s="87" t="str">
        <v/>
      </c>
      <c r="G2163" s="87">
        <v>0</v>
      </c>
      <c r="H2163" s="87" t="str">
        <v/>
      </c>
    </row>
    <row r="2164" spans="2:8" x14ac:dyDescent="0.2">
      <c r="B2164" s="87" t="str">
        <v/>
      </c>
      <c r="G2164" s="87">
        <v>0</v>
      </c>
      <c r="H2164" s="87" t="str">
        <v/>
      </c>
    </row>
    <row r="2165" spans="2:8" x14ac:dyDescent="0.2">
      <c r="B2165" s="87" t="str">
        <v/>
      </c>
      <c r="G2165" s="87">
        <v>0</v>
      </c>
      <c r="H2165" s="87" t="str">
        <v/>
      </c>
    </row>
    <row r="2166" spans="2:8" x14ac:dyDescent="0.2">
      <c r="B2166" s="87" t="str">
        <v/>
      </c>
      <c r="G2166" s="87">
        <v>0</v>
      </c>
      <c r="H2166" s="87" t="str">
        <v/>
      </c>
    </row>
    <row r="2167" spans="2:8" x14ac:dyDescent="0.2">
      <c r="B2167" s="87" t="str">
        <v/>
      </c>
      <c r="G2167" s="87">
        <v>0</v>
      </c>
      <c r="H2167" s="87" t="str">
        <v/>
      </c>
    </row>
    <row r="2168" spans="2:8" x14ac:dyDescent="0.2">
      <c r="B2168" s="87" t="str">
        <v/>
      </c>
      <c r="G2168" s="87">
        <v>0</v>
      </c>
      <c r="H2168" s="87" t="str">
        <v/>
      </c>
    </row>
    <row r="2169" spans="2:8" x14ac:dyDescent="0.2">
      <c r="B2169" s="87" t="str">
        <v/>
      </c>
      <c r="G2169" s="87">
        <v>0</v>
      </c>
      <c r="H2169" s="87" t="str">
        <v/>
      </c>
    </row>
    <row r="2170" spans="2:8" x14ac:dyDescent="0.2">
      <c r="B2170" s="87" t="str">
        <v/>
      </c>
      <c r="G2170" s="87">
        <v>0</v>
      </c>
      <c r="H2170" s="87" t="str">
        <v/>
      </c>
    </row>
    <row r="2171" spans="2:8" x14ac:dyDescent="0.2">
      <c r="B2171" s="87" t="str">
        <v/>
      </c>
      <c r="G2171" s="87">
        <v>0</v>
      </c>
      <c r="H2171" s="87" t="str">
        <v/>
      </c>
    </row>
    <row r="2172" spans="2:8" x14ac:dyDescent="0.2">
      <c r="B2172" s="87" t="str">
        <v/>
      </c>
      <c r="G2172" s="87">
        <v>0</v>
      </c>
      <c r="H2172" s="87" t="str">
        <v/>
      </c>
    </row>
    <row r="2173" spans="2:8" x14ac:dyDescent="0.2">
      <c r="B2173" s="87" t="str">
        <v/>
      </c>
      <c r="G2173" s="87">
        <v>0</v>
      </c>
      <c r="H2173" s="87" t="str">
        <v/>
      </c>
    </row>
    <row r="2174" spans="2:8" x14ac:dyDescent="0.2">
      <c r="B2174" s="87" t="str">
        <v/>
      </c>
      <c r="G2174" s="87">
        <v>0</v>
      </c>
      <c r="H2174" s="87" t="str">
        <v/>
      </c>
    </row>
    <row r="2175" spans="2:8" x14ac:dyDescent="0.2">
      <c r="B2175" s="87" t="str">
        <v/>
      </c>
      <c r="G2175" s="87">
        <v>0</v>
      </c>
      <c r="H2175" s="87" t="str">
        <v/>
      </c>
    </row>
    <row r="2176" spans="2:8" x14ac:dyDescent="0.2">
      <c r="B2176" s="87" t="str">
        <v/>
      </c>
      <c r="G2176" s="87">
        <v>0</v>
      </c>
      <c r="H2176" s="87" t="str">
        <v/>
      </c>
    </row>
    <row r="2177" spans="2:8" x14ac:dyDescent="0.2">
      <c r="B2177" s="87" t="str">
        <v/>
      </c>
      <c r="G2177" s="87">
        <v>0</v>
      </c>
      <c r="H2177" s="87" t="str">
        <v/>
      </c>
    </row>
    <row r="2178" spans="2:8" x14ac:dyDescent="0.2">
      <c r="B2178" s="87" t="str">
        <v/>
      </c>
      <c r="G2178" s="87">
        <v>0</v>
      </c>
      <c r="H2178" s="87" t="str">
        <v/>
      </c>
    </row>
    <row r="2179" spans="2:8" x14ac:dyDescent="0.2">
      <c r="B2179" s="87" t="str">
        <v/>
      </c>
      <c r="G2179" s="87">
        <v>0</v>
      </c>
      <c r="H2179" s="87" t="str">
        <v/>
      </c>
    </row>
    <row r="2180" spans="2:8" x14ac:dyDescent="0.2">
      <c r="B2180" s="87" t="str">
        <v/>
      </c>
      <c r="G2180" s="87">
        <v>0</v>
      </c>
      <c r="H2180" s="87" t="str">
        <v/>
      </c>
    </row>
    <row r="2181" spans="2:8" x14ac:dyDescent="0.2">
      <c r="B2181" s="87" t="str">
        <v/>
      </c>
      <c r="G2181" s="87">
        <v>0</v>
      </c>
      <c r="H2181" s="87" t="str">
        <v/>
      </c>
    </row>
    <row r="2182" spans="2:8" x14ac:dyDescent="0.2">
      <c r="B2182" s="87" t="str">
        <v/>
      </c>
      <c r="G2182" s="87">
        <v>0</v>
      </c>
      <c r="H2182" s="87" t="str">
        <v/>
      </c>
    </row>
    <row r="2183" spans="2:8" x14ac:dyDescent="0.2">
      <c r="B2183" s="87" t="str">
        <v/>
      </c>
      <c r="G2183" s="87">
        <v>0</v>
      </c>
      <c r="H2183" s="87" t="str">
        <v/>
      </c>
    </row>
    <row r="2184" spans="2:8" x14ac:dyDescent="0.2">
      <c r="B2184" s="87" t="str">
        <v/>
      </c>
      <c r="G2184" s="87">
        <v>0</v>
      </c>
      <c r="H2184" s="87" t="str">
        <v/>
      </c>
    </row>
    <row r="2185" spans="2:8" x14ac:dyDescent="0.2">
      <c r="B2185" s="87" t="str">
        <v/>
      </c>
      <c r="G2185" s="87">
        <v>0</v>
      </c>
      <c r="H2185" s="87" t="str">
        <v/>
      </c>
    </row>
    <row r="2186" spans="2:8" x14ac:dyDescent="0.2">
      <c r="B2186" s="87" t="str">
        <v/>
      </c>
      <c r="G2186" s="87">
        <v>0</v>
      </c>
      <c r="H2186" s="87" t="str">
        <v/>
      </c>
    </row>
    <row r="2187" spans="2:8" x14ac:dyDescent="0.2">
      <c r="B2187" s="87" t="str">
        <v/>
      </c>
      <c r="G2187" s="87">
        <v>0</v>
      </c>
      <c r="H2187" s="87" t="str">
        <v/>
      </c>
    </row>
    <row r="2188" spans="2:8" x14ac:dyDescent="0.2">
      <c r="B2188" s="87" t="str">
        <v/>
      </c>
      <c r="G2188" s="87">
        <v>0</v>
      </c>
      <c r="H2188" s="87" t="str">
        <v/>
      </c>
    </row>
    <row r="2189" spans="2:8" x14ac:dyDescent="0.2">
      <c r="B2189" s="87" t="str">
        <v/>
      </c>
      <c r="G2189" s="87">
        <v>0</v>
      </c>
      <c r="H2189" s="87" t="str">
        <v/>
      </c>
    </row>
    <row r="2190" spans="2:8" x14ac:dyDescent="0.2">
      <c r="B2190" s="87" t="str">
        <v/>
      </c>
      <c r="G2190" s="87">
        <v>0</v>
      </c>
      <c r="H2190" s="87" t="str">
        <v/>
      </c>
    </row>
    <row r="2191" spans="2:8" x14ac:dyDescent="0.2">
      <c r="B2191" s="87" t="str">
        <v/>
      </c>
      <c r="G2191" s="87">
        <v>0</v>
      </c>
      <c r="H2191" s="87" t="str">
        <v/>
      </c>
    </row>
    <row r="2192" spans="2:8" x14ac:dyDescent="0.2">
      <c r="B2192" s="87" t="str">
        <v/>
      </c>
      <c r="G2192" s="87">
        <v>0</v>
      </c>
      <c r="H2192" s="87" t="str">
        <v/>
      </c>
    </row>
    <row r="2193" spans="2:8" x14ac:dyDescent="0.2">
      <c r="B2193" s="87" t="str">
        <v/>
      </c>
      <c r="G2193" s="87">
        <v>0</v>
      </c>
      <c r="H2193" s="87" t="str">
        <v/>
      </c>
    </row>
    <row r="2194" spans="2:8" x14ac:dyDescent="0.2">
      <c r="B2194" s="87" t="str">
        <v/>
      </c>
      <c r="G2194" s="87">
        <v>0</v>
      </c>
      <c r="H2194" s="87" t="str">
        <v/>
      </c>
    </row>
    <row r="2195" spans="2:8" x14ac:dyDescent="0.2">
      <c r="B2195" s="87" t="str">
        <v/>
      </c>
      <c r="G2195" s="87">
        <v>0</v>
      </c>
      <c r="H2195" s="87" t="str">
        <v/>
      </c>
    </row>
    <row r="2196" spans="2:8" x14ac:dyDescent="0.2">
      <c r="B2196" s="87" t="str">
        <v/>
      </c>
      <c r="G2196" s="87">
        <v>0</v>
      </c>
      <c r="H2196" s="87" t="str">
        <v/>
      </c>
    </row>
    <row r="2197" spans="2:8" x14ac:dyDescent="0.2">
      <c r="B2197" s="87" t="str">
        <v/>
      </c>
      <c r="G2197" s="87">
        <v>0</v>
      </c>
      <c r="H2197" s="87" t="str">
        <v/>
      </c>
    </row>
    <row r="2198" spans="2:8" x14ac:dyDescent="0.2">
      <c r="B2198" s="87" t="str">
        <v/>
      </c>
      <c r="G2198" s="87">
        <v>0</v>
      </c>
      <c r="H2198" s="87" t="str">
        <v/>
      </c>
    </row>
    <row r="2199" spans="2:8" x14ac:dyDescent="0.2">
      <c r="B2199" s="87" t="str">
        <v/>
      </c>
      <c r="G2199" s="87">
        <v>0</v>
      </c>
      <c r="H2199" s="87" t="str">
        <v/>
      </c>
    </row>
    <row r="2200" spans="2:8" x14ac:dyDescent="0.2">
      <c r="B2200" s="87" t="str">
        <v/>
      </c>
      <c r="G2200" s="87">
        <v>0</v>
      </c>
      <c r="H2200" s="87" t="str">
        <v/>
      </c>
    </row>
    <row r="2201" spans="2:8" x14ac:dyDescent="0.2">
      <c r="B2201" s="87" t="str">
        <v/>
      </c>
      <c r="G2201" s="87">
        <v>0</v>
      </c>
      <c r="H2201" s="87" t="str">
        <v/>
      </c>
    </row>
    <row r="2202" spans="2:8" x14ac:dyDescent="0.2">
      <c r="B2202" s="87" t="str">
        <v/>
      </c>
      <c r="G2202" s="87">
        <v>0</v>
      </c>
      <c r="H2202" s="87" t="str">
        <v/>
      </c>
    </row>
    <row r="2203" spans="2:8" x14ac:dyDescent="0.2">
      <c r="B2203" s="87" t="str">
        <v/>
      </c>
      <c r="G2203" s="87">
        <v>0</v>
      </c>
      <c r="H2203" s="87" t="str">
        <v/>
      </c>
    </row>
    <row r="2204" spans="2:8" x14ac:dyDescent="0.2">
      <c r="B2204" s="87" t="str">
        <v/>
      </c>
      <c r="G2204" s="87">
        <v>0</v>
      </c>
      <c r="H2204" s="87" t="str">
        <v/>
      </c>
    </row>
    <row r="2205" spans="2:8" x14ac:dyDescent="0.2">
      <c r="B2205" s="87" t="str">
        <v/>
      </c>
      <c r="G2205" s="87">
        <v>0</v>
      </c>
      <c r="H2205" s="87" t="str">
        <v/>
      </c>
    </row>
    <row r="2206" spans="2:8" x14ac:dyDescent="0.2">
      <c r="B2206" s="87" t="str">
        <v/>
      </c>
      <c r="G2206" s="87">
        <v>0</v>
      </c>
      <c r="H2206" s="87" t="str">
        <v/>
      </c>
    </row>
    <row r="2207" spans="2:8" x14ac:dyDescent="0.2">
      <c r="B2207" s="87" t="str">
        <v/>
      </c>
      <c r="G2207" s="87">
        <v>0</v>
      </c>
      <c r="H2207" s="87" t="str">
        <v/>
      </c>
    </row>
    <row r="2208" spans="2:8" x14ac:dyDescent="0.2">
      <c r="B2208" s="87" t="str">
        <v/>
      </c>
      <c r="G2208" s="87">
        <v>0</v>
      </c>
      <c r="H2208" s="87" t="str">
        <v/>
      </c>
    </row>
    <row r="2209" spans="2:8" x14ac:dyDescent="0.2">
      <c r="B2209" s="87" t="str">
        <v/>
      </c>
      <c r="G2209" s="87">
        <v>0</v>
      </c>
      <c r="H2209" s="87" t="str">
        <v/>
      </c>
    </row>
    <row r="2210" spans="2:8" x14ac:dyDescent="0.2">
      <c r="B2210" s="87" t="str">
        <v/>
      </c>
      <c r="G2210" s="87">
        <v>0</v>
      </c>
      <c r="H2210" s="87" t="str">
        <v/>
      </c>
    </row>
    <row r="2211" spans="2:8" x14ac:dyDescent="0.2">
      <c r="B2211" s="87" t="str">
        <v/>
      </c>
      <c r="G2211" s="87">
        <v>0</v>
      </c>
      <c r="H2211" s="87" t="str">
        <v/>
      </c>
    </row>
    <row r="2212" spans="2:8" x14ac:dyDescent="0.2">
      <c r="B2212" s="87" t="str">
        <v/>
      </c>
      <c r="G2212" s="87">
        <v>0</v>
      </c>
      <c r="H2212" s="87" t="str">
        <v/>
      </c>
    </row>
    <row r="2213" spans="2:8" x14ac:dyDescent="0.2">
      <c r="B2213" s="87" t="str">
        <v/>
      </c>
      <c r="G2213" s="87">
        <v>0</v>
      </c>
      <c r="H2213" s="87" t="str">
        <v/>
      </c>
    </row>
    <row r="2214" spans="2:8" x14ac:dyDescent="0.2">
      <c r="B2214" s="87" t="str">
        <v/>
      </c>
      <c r="G2214" s="87">
        <v>0</v>
      </c>
      <c r="H2214" s="87" t="str">
        <v/>
      </c>
    </row>
    <row r="2215" spans="2:8" x14ac:dyDescent="0.2">
      <c r="B2215" s="87" t="str">
        <v/>
      </c>
      <c r="G2215" s="87">
        <v>0</v>
      </c>
      <c r="H2215" s="87" t="str">
        <v/>
      </c>
    </row>
    <row r="2216" spans="2:8" x14ac:dyDescent="0.2">
      <c r="B2216" s="87" t="str">
        <v/>
      </c>
      <c r="G2216" s="87">
        <v>0</v>
      </c>
      <c r="H2216" s="87" t="str">
        <v/>
      </c>
    </row>
    <row r="2217" spans="2:8" x14ac:dyDescent="0.2">
      <c r="B2217" s="87" t="str">
        <v/>
      </c>
      <c r="G2217" s="87">
        <v>0</v>
      </c>
      <c r="H2217" s="87" t="str">
        <v/>
      </c>
    </row>
    <row r="2218" spans="2:8" x14ac:dyDescent="0.2">
      <c r="B2218" s="87" t="str">
        <v/>
      </c>
      <c r="G2218" s="87">
        <v>0</v>
      </c>
      <c r="H2218" s="87" t="str">
        <v/>
      </c>
    </row>
    <row r="2219" spans="2:8" x14ac:dyDescent="0.2">
      <c r="B2219" s="87" t="str">
        <v/>
      </c>
      <c r="G2219" s="87">
        <v>0</v>
      </c>
      <c r="H2219" s="87" t="str">
        <v/>
      </c>
    </row>
    <row r="2220" spans="2:8" x14ac:dyDescent="0.2">
      <c r="B2220" s="87" t="str">
        <v/>
      </c>
      <c r="G2220" s="87">
        <v>0</v>
      </c>
      <c r="H2220" s="87" t="str">
        <v/>
      </c>
    </row>
    <row r="2221" spans="2:8" x14ac:dyDescent="0.2">
      <c r="B2221" s="87" t="str">
        <v/>
      </c>
      <c r="G2221" s="87">
        <v>0</v>
      </c>
      <c r="H2221" s="87" t="str">
        <v/>
      </c>
    </row>
    <row r="2222" spans="2:8" x14ac:dyDescent="0.2">
      <c r="B2222" s="87" t="str">
        <v/>
      </c>
      <c r="G2222" s="87">
        <v>0</v>
      </c>
      <c r="H2222" s="87" t="str">
        <v/>
      </c>
    </row>
    <row r="2223" spans="2:8" x14ac:dyDescent="0.2">
      <c r="B2223" s="87" t="str">
        <v/>
      </c>
      <c r="G2223" s="87">
        <v>0</v>
      </c>
      <c r="H2223" s="87" t="str">
        <v/>
      </c>
    </row>
    <row r="2224" spans="2:8" x14ac:dyDescent="0.2">
      <c r="B2224" s="87" t="str">
        <v/>
      </c>
      <c r="G2224" s="87">
        <v>0</v>
      </c>
      <c r="H2224" s="87" t="str">
        <v/>
      </c>
    </row>
    <row r="2225" spans="2:8" x14ac:dyDescent="0.2">
      <c r="B2225" s="87" t="str">
        <v/>
      </c>
      <c r="G2225" s="87">
        <v>0</v>
      </c>
      <c r="H2225" s="87" t="str">
        <v/>
      </c>
    </row>
    <row r="2226" spans="2:8" x14ac:dyDescent="0.2">
      <c r="B2226" s="87" t="str">
        <v/>
      </c>
      <c r="G2226" s="87">
        <v>0</v>
      </c>
      <c r="H2226" s="87" t="str">
        <v/>
      </c>
    </row>
    <row r="2227" spans="2:8" x14ac:dyDescent="0.2">
      <c r="B2227" s="87" t="str">
        <v/>
      </c>
      <c r="G2227" s="87">
        <v>0</v>
      </c>
      <c r="H2227" s="87" t="str">
        <v/>
      </c>
    </row>
    <row r="2228" spans="2:8" x14ac:dyDescent="0.2">
      <c r="B2228" s="87" t="str">
        <v/>
      </c>
      <c r="G2228" s="87">
        <v>0</v>
      </c>
      <c r="H2228" s="87" t="str">
        <v/>
      </c>
    </row>
    <row r="2229" spans="2:8" x14ac:dyDescent="0.2">
      <c r="B2229" s="87" t="str">
        <v/>
      </c>
      <c r="G2229" s="87">
        <v>0</v>
      </c>
      <c r="H2229" s="87" t="str">
        <v/>
      </c>
    </row>
    <row r="2230" spans="2:8" x14ac:dyDescent="0.2">
      <c r="B2230" s="87" t="str">
        <v/>
      </c>
      <c r="G2230" s="87">
        <v>0</v>
      </c>
      <c r="H2230" s="87" t="str">
        <v/>
      </c>
    </row>
    <row r="2231" spans="2:8" x14ac:dyDescent="0.2">
      <c r="B2231" s="87" t="str">
        <v/>
      </c>
      <c r="G2231" s="87">
        <v>0</v>
      </c>
      <c r="H2231" s="87" t="str">
        <v/>
      </c>
    </row>
    <row r="2232" spans="2:8" x14ac:dyDescent="0.2">
      <c r="B2232" s="87" t="str">
        <v/>
      </c>
      <c r="G2232" s="87">
        <v>0</v>
      </c>
      <c r="H2232" s="87" t="str">
        <v/>
      </c>
    </row>
    <row r="2233" spans="2:8" x14ac:dyDescent="0.2">
      <c r="B2233" s="87" t="str">
        <v/>
      </c>
      <c r="G2233" s="87">
        <v>0</v>
      </c>
      <c r="H2233" s="87" t="str">
        <v/>
      </c>
    </row>
    <row r="2234" spans="2:8" x14ac:dyDescent="0.2">
      <c r="B2234" s="87" t="str">
        <v/>
      </c>
      <c r="G2234" s="87">
        <v>0</v>
      </c>
      <c r="H2234" s="87" t="str">
        <v/>
      </c>
    </row>
    <row r="2235" spans="2:8" x14ac:dyDescent="0.2">
      <c r="B2235" s="87" t="str">
        <v/>
      </c>
      <c r="G2235" s="87">
        <v>0</v>
      </c>
      <c r="H2235" s="87" t="str">
        <v/>
      </c>
    </row>
    <row r="2236" spans="2:8" x14ac:dyDescent="0.2">
      <c r="B2236" s="87" t="str">
        <v/>
      </c>
      <c r="G2236" s="87">
        <v>0</v>
      </c>
      <c r="H2236" s="87" t="str">
        <v/>
      </c>
    </row>
    <row r="2237" spans="2:8" x14ac:dyDescent="0.2">
      <c r="B2237" s="87" t="str">
        <v/>
      </c>
      <c r="G2237" s="87">
        <v>0</v>
      </c>
      <c r="H2237" s="87" t="str">
        <v/>
      </c>
    </row>
    <row r="2238" spans="2:8" x14ac:dyDescent="0.2">
      <c r="B2238" s="87" t="str">
        <v/>
      </c>
      <c r="G2238" s="87">
        <v>0</v>
      </c>
      <c r="H2238" s="87" t="str">
        <v/>
      </c>
    </row>
    <row r="2239" spans="2:8" x14ac:dyDescent="0.2">
      <c r="B2239" s="87" t="str">
        <v/>
      </c>
      <c r="G2239" s="87">
        <v>0</v>
      </c>
      <c r="H2239" s="87" t="str">
        <v/>
      </c>
    </row>
    <row r="2240" spans="2:8" x14ac:dyDescent="0.2">
      <c r="B2240" s="87" t="str">
        <v/>
      </c>
      <c r="G2240" s="87">
        <v>0</v>
      </c>
      <c r="H2240" s="87" t="str">
        <v/>
      </c>
    </row>
    <row r="2241" spans="2:8" x14ac:dyDescent="0.2">
      <c r="B2241" s="87" t="str">
        <v/>
      </c>
      <c r="G2241" s="87">
        <v>0</v>
      </c>
      <c r="H2241" s="87" t="str">
        <v/>
      </c>
    </row>
    <row r="2242" spans="2:8" x14ac:dyDescent="0.2">
      <c r="B2242" s="87" t="str">
        <v/>
      </c>
      <c r="G2242" s="87">
        <v>0</v>
      </c>
      <c r="H2242" s="87" t="str">
        <v/>
      </c>
    </row>
    <row r="2243" spans="2:8" x14ac:dyDescent="0.2">
      <c r="B2243" s="87" t="str">
        <v/>
      </c>
      <c r="G2243" s="87">
        <v>0</v>
      </c>
      <c r="H2243" s="87" t="str">
        <v/>
      </c>
    </row>
    <row r="2244" spans="2:8" x14ac:dyDescent="0.2">
      <c r="B2244" s="87" t="str">
        <v/>
      </c>
      <c r="G2244" s="87">
        <v>0</v>
      </c>
      <c r="H2244" s="87" t="str">
        <v/>
      </c>
    </row>
    <row r="2245" spans="2:8" x14ac:dyDescent="0.2">
      <c r="B2245" s="87" t="str">
        <v/>
      </c>
      <c r="G2245" s="87">
        <v>0</v>
      </c>
      <c r="H2245" s="87" t="str">
        <v/>
      </c>
    </row>
    <row r="2246" spans="2:8" x14ac:dyDescent="0.2">
      <c r="B2246" s="87" t="str">
        <v/>
      </c>
      <c r="G2246" s="87">
        <v>0</v>
      </c>
      <c r="H2246" s="87" t="str">
        <v/>
      </c>
    </row>
    <row r="2247" spans="2:8" x14ac:dyDescent="0.2">
      <c r="B2247" s="87" t="str">
        <v/>
      </c>
      <c r="G2247" s="87">
        <v>0</v>
      </c>
      <c r="H2247" s="87" t="str">
        <v/>
      </c>
    </row>
    <row r="2248" spans="2:8" x14ac:dyDescent="0.2">
      <c r="B2248" s="87" t="str">
        <v/>
      </c>
      <c r="G2248" s="87">
        <v>0</v>
      </c>
      <c r="H2248" s="87" t="str">
        <v/>
      </c>
    </row>
    <row r="2249" spans="2:8" x14ac:dyDescent="0.2">
      <c r="B2249" s="87" t="str">
        <v/>
      </c>
      <c r="G2249" s="87">
        <v>0</v>
      </c>
      <c r="H2249" s="87" t="str">
        <v/>
      </c>
    </row>
    <row r="2250" spans="2:8" x14ac:dyDescent="0.2">
      <c r="B2250" s="87" t="str">
        <v/>
      </c>
      <c r="G2250" s="87">
        <v>0</v>
      </c>
      <c r="H2250" s="87" t="str">
        <v/>
      </c>
    </row>
    <row r="2251" spans="2:8" x14ac:dyDescent="0.2">
      <c r="B2251" s="87" t="str">
        <v/>
      </c>
      <c r="G2251" s="87">
        <v>0</v>
      </c>
      <c r="H2251" s="87" t="str">
        <v/>
      </c>
    </row>
    <row r="2252" spans="2:8" x14ac:dyDescent="0.2">
      <c r="B2252" s="87" t="str">
        <v/>
      </c>
      <c r="G2252" s="87">
        <v>0</v>
      </c>
      <c r="H2252" s="87" t="str">
        <v/>
      </c>
    </row>
    <row r="2253" spans="2:8" x14ac:dyDescent="0.2">
      <c r="B2253" s="87" t="str">
        <v/>
      </c>
      <c r="G2253" s="87">
        <v>0</v>
      </c>
      <c r="H2253" s="87" t="str">
        <v/>
      </c>
    </row>
    <row r="2254" spans="2:8" x14ac:dyDescent="0.2">
      <c r="B2254" s="87" t="str">
        <v/>
      </c>
      <c r="G2254" s="87">
        <v>0</v>
      </c>
      <c r="H2254" s="87" t="str">
        <v/>
      </c>
    </row>
    <row r="2255" spans="2:8" x14ac:dyDescent="0.2">
      <c r="B2255" s="87" t="str">
        <v/>
      </c>
      <c r="G2255" s="87">
        <v>0</v>
      </c>
      <c r="H2255" s="87" t="str">
        <v/>
      </c>
    </row>
    <row r="2256" spans="2:8" x14ac:dyDescent="0.2">
      <c r="B2256" s="87" t="str">
        <v/>
      </c>
      <c r="G2256" s="87">
        <v>0</v>
      </c>
      <c r="H2256" s="87" t="str">
        <v/>
      </c>
    </row>
    <row r="2257" spans="2:8" x14ac:dyDescent="0.2">
      <c r="B2257" s="87" t="str">
        <v/>
      </c>
      <c r="G2257" s="87">
        <v>0</v>
      </c>
      <c r="H2257" s="87" t="str">
        <v/>
      </c>
    </row>
    <row r="2258" spans="2:8" x14ac:dyDescent="0.2">
      <c r="B2258" s="87" t="str">
        <v/>
      </c>
      <c r="G2258" s="87">
        <v>0</v>
      </c>
      <c r="H2258" s="87" t="str">
        <v/>
      </c>
    </row>
    <row r="2259" spans="2:8" x14ac:dyDescent="0.2">
      <c r="B2259" s="87" t="str">
        <v/>
      </c>
      <c r="G2259" s="87">
        <v>0</v>
      </c>
      <c r="H2259" s="87" t="str">
        <v/>
      </c>
    </row>
    <row r="2260" spans="2:8" x14ac:dyDescent="0.2">
      <c r="B2260" s="87" t="str">
        <v/>
      </c>
      <c r="G2260" s="87">
        <v>0</v>
      </c>
      <c r="H2260" s="87" t="str">
        <v/>
      </c>
    </row>
    <row r="2261" spans="2:8" x14ac:dyDescent="0.2">
      <c r="B2261" s="87" t="str">
        <v/>
      </c>
      <c r="G2261" s="87">
        <v>0</v>
      </c>
      <c r="H2261" s="87" t="str">
        <v/>
      </c>
    </row>
    <row r="2262" spans="2:8" x14ac:dyDescent="0.2">
      <c r="B2262" s="87" t="str">
        <v/>
      </c>
      <c r="G2262" s="87">
        <v>0</v>
      </c>
      <c r="H2262" s="87" t="str">
        <v/>
      </c>
    </row>
    <row r="2263" spans="2:8" x14ac:dyDescent="0.2">
      <c r="B2263" s="87" t="str">
        <v/>
      </c>
      <c r="G2263" s="87">
        <v>0</v>
      </c>
      <c r="H2263" s="87" t="str">
        <v/>
      </c>
    </row>
    <row r="2264" spans="2:8" x14ac:dyDescent="0.2">
      <c r="B2264" s="87" t="str">
        <v/>
      </c>
      <c r="G2264" s="87">
        <v>0</v>
      </c>
      <c r="H2264" s="87" t="str">
        <v/>
      </c>
    </row>
    <row r="2265" spans="2:8" x14ac:dyDescent="0.2">
      <c r="B2265" s="87" t="str">
        <v/>
      </c>
      <c r="G2265" s="87">
        <v>0</v>
      </c>
      <c r="H2265" s="87" t="str">
        <v/>
      </c>
    </row>
    <row r="2266" spans="2:8" x14ac:dyDescent="0.2">
      <c r="B2266" s="87" t="str">
        <v/>
      </c>
      <c r="G2266" s="87">
        <v>0</v>
      </c>
      <c r="H2266" s="87" t="str">
        <v/>
      </c>
    </row>
    <row r="2267" spans="2:8" x14ac:dyDescent="0.2">
      <c r="B2267" s="87" t="str">
        <v/>
      </c>
      <c r="G2267" s="87">
        <v>0</v>
      </c>
      <c r="H2267" s="87" t="str">
        <v/>
      </c>
    </row>
    <row r="2268" spans="2:8" x14ac:dyDescent="0.2">
      <c r="B2268" s="87" t="str">
        <v/>
      </c>
      <c r="G2268" s="87">
        <v>0</v>
      </c>
      <c r="H2268" s="87" t="str">
        <v/>
      </c>
    </row>
    <row r="2269" spans="2:8" x14ac:dyDescent="0.2">
      <c r="B2269" s="87" t="str">
        <v/>
      </c>
      <c r="G2269" s="87">
        <v>0</v>
      </c>
      <c r="H2269" s="87" t="str">
        <v/>
      </c>
    </row>
    <row r="2270" spans="2:8" x14ac:dyDescent="0.2">
      <c r="B2270" s="87" t="str">
        <v/>
      </c>
      <c r="G2270" s="87">
        <v>0</v>
      </c>
      <c r="H2270" s="87" t="str">
        <v/>
      </c>
    </row>
    <row r="2271" spans="2:8" x14ac:dyDescent="0.2">
      <c r="B2271" s="87" t="str">
        <v/>
      </c>
      <c r="G2271" s="87">
        <v>0</v>
      </c>
      <c r="H2271" s="87" t="str">
        <v/>
      </c>
    </row>
    <row r="2272" spans="2:8" x14ac:dyDescent="0.2">
      <c r="B2272" s="87" t="str">
        <v/>
      </c>
      <c r="G2272" s="87">
        <v>0</v>
      </c>
      <c r="H2272" s="87" t="str">
        <v/>
      </c>
    </row>
    <row r="2273" spans="2:8" x14ac:dyDescent="0.2">
      <c r="B2273" s="87" t="str">
        <v/>
      </c>
      <c r="G2273" s="87">
        <v>0</v>
      </c>
      <c r="H2273" s="87" t="str">
        <v/>
      </c>
    </row>
    <row r="2274" spans="2:8" x14ac:dyDescent="0.2">
      <c r="B2274" s="87" t="str">
        <v/>
      </c>
      <c r="G2274" s="87">
        <v>0</v>
      </c>
      <c r="H2274" s="87" t="str">
        <v/>
      </c>
    </row>
    <row r="2275" spans="2:8" x14ac:dyDescent="0.2">
      <c r="B2275" s="87" t="str">
        <v/>
      </c>
      <c r="G2275" s="87">
        <v>0</v>
      </c>
      <c r="H2275" s="87" t="str">
        <v/>
      </c>
    </row>
    <row r="2276" spans="2:8" x14ac:dyDescent="0.2">
      <c r="B2276" s="87" t="str">
        <v/>
      </c>
      <c r="G2276" s="87">
        <v>0</v>
      </c>
      <c r="H2276" s="87" t="str">
        <v/>
      </c>
    </row>
    <row r="2277" spans="2:8" x14ac:dyDescent="0.2">
      <c r="B2277" s="87" t="str">
        <v/>
      </c>
      <c r="G2277" s="87">
        <v>0</v>
      </c>
      <c r="H2277" s="87" t="str">
        <v/>
      </c>
    </row>
    <row r="2278" spans="2:8" x14ac:dyDescent="0.2">
      <c r="B2278" s="87" t="str">
        <v/>
      </c>
      <c r="G2278" s="87">
        <v>0</v>
      </c>
      <c r="H2278" s="87" t="str">
        <v/>
      </c>
    </row>
    <row r="2279" spans="2:8" x14ac:dyDescent="0.2">
      <c r="B2279" s="87" t="str">
        <v/>
      </c>
      <c r="G2279" s="87">
        <v>0</v>
      </c>
      <c r="H2279" s="87" t="str">
        <v/>
      </c>
    </row>
    <row r="2280" spans="2:8" x14ac:dyDescent="0.2">
      <c r="B2280" s="87" t="str">
        <v/>
      </c>
      <c r="G2280" s="87">
        <v>0</v>
      </c>
      <c r="H2280" s="87" t="str">
        <v/>
      </c>
    </row>
    <row r="2281" spans="2:8" x14ac:dyDescent="0.2">
      <c r="B2281" s="87" t="str">
        <v/>
      </c>
      <c r="G2281" s="87">
        <v>0</v>
      </c>
      <c r="H2281" s="87" t="str">
        <v/>
      </c>
    </row>
    <row r="2282" spans="2:8" x14ac:dyDescent="0.2">
      <c r="B2282" s="87" t="str">
        <v/>
      </c>
      <c r="G2282" s="87">
        <v>0</v>
      </c>
      <c r="H2282" s="87" t="str">
        <v/>
      </c>
    </row>
    <row r="2283" spans="2:8" x14ac:dyDescent="0.2">
      <c r="B2283" s="87" t="str">
        <v/>
      </c>
      <c r="G2283" s="87">
        <v>0</v>
      </c>
      <c r="H2283" s="87" t="str">
        <v/>
      </c>
    </row>
    <row r="2284" spans="2:8" x14ac:dyDescent="0.2">
      <c r="B2284" s="87" t="str">
        <v/>
      </c>
      <c r="G2284" s="87">
        <v>0</v>
      </c>
      <c r="H2284" s="87" t="str">
        <v/>
      </c>
    </row>
    <row r="2285" spans="2:8" x14ac:dyDescent="0.2">
      <c r="B2285" s="87" t="str">
        <v/>
      </c>
      <c r="G2285" s="87">
        <v>0</v>
      </c>
      <c r="H2285" s="87" t="str">
        <v/>
      </c>
    </row>
    <row r="2286" spans="2:8" x14ac:dyDescent="0.2">
      <c r="B2286" s="87" t="str">
        <v/>
      </c>
      <c r="G2286" s="87">
        <v>0</v>
      </c>
      <c r="H2286" s="87" t="str">
        <v/>
      </c>
    </row>
    <row r="2287" spans="2:8" x14ac:dyDescent="0.2">
      <c r="B2287" s="87" t="str">
        <v/>
      </c>
      <c r="G2287" s="87">
        <v>0</v>
      </c>
      <c r="H2287" s="87" t="str">
        <v/>
      </c>
    </row>
    <row r="2288" spans="2:8" x14ac:dyDescent="0.2">
      <c r="B2288" s="87" t="str">
        <v/>
      </c>
      <c r="G2288" s="87">
        <v>0</v>
      </c>
      <c r="H2288" s="87" t="str">
        <v/>
      </c>
    </row>
    <row r="2289" spans="2:8" x14ac:dyDescent="0.2">
      <c r="B2289" s="87" t="str">
        <v/>
      </c>
      <c r="G2289" s="87">
        <v>0</v>
      </c>
      <c r="H2289" s="87" t="str">
        <v/>
      </c>
    </row>
    <row r="2290" spans="2:8" x14ac:dyDescent="0.2">
      <c r="B2290" s="87" t="str">
        <v/>
      </c>
      <c r="G2290" s="87">
        <v>0</v>
      </c>
      <c r="H2290" s="87" t="str">
        <v/>
      </c>
    </row>
    <row r="2291" spans="2:8" x14ac:dyDescent="0.2">
      <c r="B2291" s="87" t="str">
        <v/>
      </c>
      <c r="G2291" s="87">
        <v>0</v>
      </c>
      <c r="H2291" s="87" t="str">
        <v/>
      </c>
    </row>
    <row r="2292" spans="2:8" x14ac:dyDescent="0.2">
      <c r="B2292" s="87" t="str">
        <v/>
      </c>
      <c r="G2292" s="87">
        <v>0</v>
      </c>
      <c r="H2292" s="87" t="str">
        <v/>
      </c>
    </row>
    <row r="2293" spans="2:8" x14ac:dyDescent="0.2">
      <c r="B2293" s="87" t="str">
        <v/>
      </c>
      <c r="G2293" s="87">
        <v>0</v>
      </c>
      <c r="H2293" s="87" t="str">
        <v/>
      </c>
    </row>
    <row r="2294" spans="2:8" x14ac:dyDescent="0.2">
      <c r="B2294" s="87" t="str">
        <v/>
      </c>
      <c r="G2294" s="87">
        <v>0</v>
      </c>
      <c r="H2294" s="87" t="str">
        <v/>
      </c>
    </row>
    <row r="2295" spans="2:8" x14ac:dyDescent="0.2">
      <c r="B2295" s="87" t="str">
        <v/>
      </c>
      <c r="G2295" s="87">
        <v>0</v>
      </c>
      <c r="H2295" s="87" t="str">
        <v/>
      </c>
    </row>
    <row r="2296" spans="2:8" x14ac:dyDescent="0.2">
      <c r="B2296" s="87" t="str">
        <v/>
      </c>
      <c r="G2296" s="87">
        <v>0</v>
      </c>
      <c r="H2296" s="87" t="str">
        <v/>
      </c>
    </row>
    <row r="2297" spans="2:8" x14ac:dyDescent="0.2">
      <c r="B2297" s="87" t="str">
        <v/>
      </c>
      <c r="G2297" s="87">
        <v>0</v>
      </c>
      <c r="H2297" s="87" t="str">
        <v/>
      </c>
    </row>
    <row r="2298" spans="2:8" x14ac:dyDescent="0.2">
      <c r="B2298" s="87" t="str">
        <v/>
      </c>
      <c r="G2298" s="87">
        <v>0</v>
      </c>
      <c r="H2298" s="87" t="str">
        <v/>
      </c>
    </row>
    <row r="2299" spans="2:8" x14ac:dyDescent="0.2">
      <c r="B2299" s="87" t="str">
        <v/>
      </c>
      <c r="G2299" s="87">
        <v>0</v>
      </c>
      <c r="H2299" s="87" t="str">
        <v/>
      </c>
    </row>
    <row r="2300" spans="2:8" x14ac:dyDescent="0.2">
      <c r="B2300" s="87" t="str">
        <v/>
      </c>
      <c r="G2300" s="87">
        <v>0</v>
      </c>
      <c r="H2300" s="87" t="str">
        <v/>
      </c>
    </row>
    <row r="2301" spans="2:8" x14ac:dyDescent="0.2">
      <c r="B2301" s="87" t="str">
        <v/>
      </c>
      <c r="G2301" s="87">
        <v>0</v>
      </c>
      <c r="H2301" s="87" t="str">
        <v/>
      </c>
    </row>
    <row r="2302" spans="2:8" x14ac:dyDescent="0.2">
      <c r="B2302" s="87" t="str">
        <v/>
      </c>
      <c r="G2302" s="87">
        <v>0</v>
      </c>
      <c r="H2302" s="87" t="str">
        <v/>
      </c>
    </row>
    <row r="2303" spans="2:8" x14ac:dyDescent="0.2">
      <c r="B2303" s="87" t="str">
        <v/>
      </c>
      <c r="G2303" s="87">
        <v>0</v>
      </c>
      <c r="H2303" s="87" t="str">
        <v/>
      </c>
    </row>
    <row r="2304" spans="2:8" x14ac:dyDescent="0.2">
      <c r="B2304" s="87" t="str">
        <v/>
      </c>
      <c r="G2304" s="87">
        <v>0</v>
      </c>
      <c r="H2304" s="87" t="str">
        <v/>
      </c>
    </row>
    <row r="2305" spans="2:8" x14ac:dyDescent="0.2">
      <c r="B2305" s="87" t="str">
        <v/>
      </c>
      <c r="G2305" s="87">
        <v>0</v>
      </c>
      <c r="H2305" s="87" t="str">
        <v/>
      </c>
    </row>
    <row r="2306" spans="2:8" x14ac:dyDescent="0.2">
      <c r="B2306" s="87" t="str">
        <v/>
      </c>
      <c r="G2306" s="87">
        <v>0</v>
      </c>
      <c r="H2306" s="87" t="str">
        <v/>
      </c>
    </row>
    <row r="2307" spans="2:8" x14ac:dyDescent="0.2">
      <c r="B2307" s="87" t="str">
        <v/>
      </c>
      <c r="G2307" s="87">
        <v>0</v>
      </c>
      <c r="H2307" s="87" t="str">
        <v/>
      </c>
    </row>
    <row r="2308" spans="2:8" x14ac:dyDescent="0.2">
      <c r="B2308" s="87" t="str">
        <v/>
      </c>
      <c r="G2308" s="87">
        <v>0</v>
      </c>
      <c r="H2308" s="87" t="str">
        <v/>
      </c>
    </row>
    <row r="2309" spans="2:8" x14ac:dyDescent="0.2">
      <c r="B2309" s="87" t="str">
        <v/>
      </c>
      <c r="G2309" s="87">
        <v>0</v>
      </c>
      <c r="H2309" s="87" t="str">
        <v/>
      </c>
    </row>
    <row r="2310" spans="2:8" x14ac:dyDescent="0.2">
      <c r="B2310" s="87" t="str">
        <v/>
      </c>
      <c r="G2310" s="87">
        <v>0</v>
      </c>
      <c r="H2310" s="87" t="str">
        <v/>
      </c>
    </row>
    <row r="2311" spans="2:8" x14ac:dyDescent="0.2">
      <c r="B2311" s="87" t="str">
        <v/>
      </c>
      <c r="G2311" s="87">
        <v>0</v>
      </c>
      <c r="H2311" s="87" t="str">
        <v/>
      </c>
    </row>
    <row r="2312" spans="2:8" x14ac:dyDescent="0.2">
      <c r="B2312" s="87" t="str">
        <v/>
      </c>
      <c r="G2312" s="87">
        <v>0</v>
      </c>
      <c r="H2312" s="87" t="str">
        <v/>
      </c>
    </row>
    <row r="2313" spans="2:8" x14ac:dyDescent="0.2">
      <c r="B2313" s="87" t="str">
        <v/>
      </c>
      <c r="G2313" s="87">
        <v>0</v>
      </c>
      <c r="H2313" s="87" t="str">
        <v/>
      </c>
    </row>
    <row r="2314" spans="2:8" x14ac:dyDescent="0.2">
      <c r="B2314" s="87" t="str">
        <v/>
      </c>
      <c r="G2314" s="87">
        <v>0</v>
      </c>
      <c r="H2314" s="87" t="str">
        <v/>
      </c>
    </row>
    <row r="2315" spans="2:8" x14ac:dyDescent="0.2">
      <c r="B2315" s="87" t="str">
        <v/>
      </c>
      <c r="G2315" s="87">
        <v>0</v>
      </c>
      <c r="H2315" s="87" t="str">
        <v/>
      </c>
    </row>
    <row r="2316" spans="2:8" x14ac:dyDescent="0.2">
      <c r="B2316" s="87" t="str">
        <v/>
      </c>
      <c r="G2316" s="87">
        <v>0</v>
      </c>
      <c r="H2316" s="87" t="str">
        <v/>
      </c>
    </row>
    <row r="2317" spans="2:8" x14ac:dyDescent="0.2">
      <c r="B2317" s="87" t="str">
        <v/>
      </c>
      <c r="G2317" s="87">
        <v>0</v>
      </c>
      <c r="H2317" s="87" t="str">
        <v/>
      </c>
    </row>
    <row r="2318" spans="2:8" x14ac:dyDescent="0.2">
      <c r="B2318" s="87" t="str">
        <v/>
      </c>
      <c r="G2318" s="87">
        <v>0</v>
      </c>
      <c r="H2318" s="87" t="str">
        <v/>
      </c>
    </row>
    <row r="2319" spans="2:8" x14ac:dyDescent="0.2">
      <c r="B2319" s="87" t="str">
        <v/>
      </c>
      <c r="G2319" s="87">
        <v>0</v>
      </c>
      <c r="H2319" s="87" t="str">
        <v/>
      </c>
    </row>
    <row r="2320" spans="2:8" x14ac:dyDescent="0.2">
      <c r="B2320" s="87" t="str">
        <v/>
      </c>
      <c r="G2320" s="87">
        <v>0</v>
      </c>
      <c r="H2320" s="87" t="str">
        <v/>
      </c>
    </row>
    <row r="2321" spans="2:8" x14ac:dyDescent="0.2">
      <c r="B2321" s="87" t="str">
        <v/>
      </c>
      <c r="G2321" s="87">
        <v>0</v>
      </c>
      <c r="H2321" s="87" t="str">
        <v/>
      </c>
    </row>
    <row r="2322" spans="2:8" x14ac:dyDescent="0.2">
      <c r="B2322" s="87" t="str">
        <v/>
      </c>
      <c r="G2322" s="87">
        <v>0</v>
      </c>
      <c r="H2322" s="87" t="str">
        <v/>
      </c>
    </row>
    <row r="2323" spans="2:8" x14ac:dyDescent="0.2">
      <c r="B2323" s="87" t="str">
        <v/>
      </c>
      <c r="G2323" s="87">
        <v>0</v>
      </c>
      <c r="H2323" s="87" t="str">
        <v/>
      </c>
    </row>
    <row r="2324" spans="2:8" x14ac:dyDescent="0.2">
      <c r="B2324" s="87" t="str">
        <v/>
      </c>
      <c r="G2324" s="87">
        <v>0</v>
      </c>
      <c r="H2324" s="87" t="str">
        <v/>
      </c>
    </row>
    <row r="2325" spans="2:8" x14ac:dyDescent="0.2">
      <c r="B2325" s="87" t="str">
        <v/>
      </c>
      <c r="G2325" s="87">
        <v>0</v>
      </c>
      <c r="H2325" s="87" t="str">
        <v/>
      </c>
    </row>
    <row r="2326" spans="2:8" x14ac:dyDescent="0.2">
      <c r="B2326" s="87" t="str">
        <v/>
      </c>
      <c r="G2326" s="87">
        <v>0</v>
      </c>
      <c r="H2326" s="87" t="str">
        <v/>
      </c>
    </row>
    <row r="2327" spans="2:8" x14ac:dyDescent="0.2">
      <c r="B2327" s="87" t="str">
        <v/>
      </c>
      <c r="G2327" s="87">
        <v>0</v>
      </c>
      <c r="H2327" s="87" t="str">
        <v/>
      </c>
    </row>
    <row r="2328" spans="2:8" x14ac:dyDescent="0.2">
      <c r="B2328" s="87" t="str">
        <v/>
      </c>
      <c r="G2328" s="87">
        <v>0</v>
      </c>
      <c r="H2328" s="87" t="str">
        <v/>
      </c>
    </row>
    <row r="2329" spans="2:8" x14ac:dyDescent="0.2">
      <c r="B2329" s="87" t="str">
        <v/>
      </c>
      <c r="G2329" s="87">
        <v>0</v>
      </c>
      <c r="H2329" s="87" t="str">
        <v/>
      </c>
    </row>
    <row r="2330" spans="2:8" x14ac:dyDescent="0.2">
      <c r="B2330" s="87" t="str">
        <v/>
      </c>
      <c r="G2330" s="87">
        <v>0</v>
      </c>
      <c r="H2330" s="87" t="str">
        <v/>
      </c>
    </row>
    <row r="2331" spans="2:8" x14ac:dyDescent="0.2">
      <c r="B2331" s="87" t="str">
        <v/>
      </c>
      <c r="G2331" s="87">
        <v>0</v>
      </c>
      <c r="H2331" s="87" t="str">
        <v/>
      </c>
    </row>
    <row r="2332" spans="2:8" x14ac:dyDescent="0.2">
      <c r="B2332" s="87" t="str">
        <v/>
      </c>
      <c r="G2332" s="87">
        <v>0</v>
      </c>
      <c r="H2332" s="87" t="str">
        <v/>
      </c>
    </row>
    <row r="2333" spans="2:8" x14ac:dyDescent="0.2">
      <c r="B2333" s="87" t="str">
        <v/>
      </c>
      <c r="G2333" s="87">
        <v>0</v>
      </c>
      <c r="H2333" s="87" t="str">
        <v/>
      </c>
    </row>
    <row r="2334" spans="2:8" x14ac:dyDescent="0.2">
      <c r="B2334" s="87" t="str">
        <v/>
      </c>
      <c r="G2334" s="87">
        <v>0</v>
      </c>
      <c r="H2334" s="87" t="str">
        <v/>
      </c>
    </row>
    <row r="2335" spans="2:8" x14ac:dyDescent="0.2">
      <c r="B2335" s="87" t="str">
        <v/>
      </c>
      <c r="G2335" s="87">
        <v>0</v>
      </c>
      <c r="H2335" s="87" t="str">
        <v/>
      </c>
    </row>
    <row r="2336" spans="2:8" x14ac:dyDescent="0.2">
      <c r="B2336" s="87" t="str">
        <v/>
      </c>
      <c r="G2336" s="87">
        <v>0</v>
      </c>
      <c r="H2336" s="87" t="str">
        <v/>
      </c>
    </row>
    <row r="2337" spans="2:8" x14ac:dyDescent="0.2">
      <c r="B2337" s="87" t="str">
        <v/>
      </c>
      <c r="G2337" s="87">
        <v>0</v>
      </c>
      <c r="H2337" s="87" t="str">
        <v/>
      </c>
    </row>
    <row r="2338" spans="2:8" x14ac:dyDescent="0.2">
      <c r="B2338" s="87" t="str">
        <v/>
      </c>
      <c r="G2338" s="87">
        <v>0</v>
      </c>
      <c r="H2338" s="87" t="str">
        <v/>
      </c>
    </row>
    <row r="2339" spans="2:8" x14ac:dyDescent="0.2">
      <c r="B2339" s="87" t="str">
        <v/>
      </c>
      <c r="G2339" s="87">
        <v>0</v>
      </c>
      <c r="H2339" s="87" t="str">
        <v/>
      </c>
    </row>
    <row r="2340" spans="2:8" x14ac:dyDescent="0.2">
      <c r="B2340" s="87" t="str">
        <v/>
      </c>
      <c r="G2340" s="87">
        <v>0</v>
      </c>
      <c r="H2340" s="87" t="str">
        <v/>
      </c>
    </row>
    <row r="2341" spans="2:8" x14ac:dyDescent="0.2">
      <c r="B2341" s="87" t="str">
        <v/>
      </c>
      <c r="G2341" s="87">
        <v>0</v>
      </c>
      <c r="H2341" s="87" t="str">
        <v/>
      </c>
    </row>
    <row r="2342" spans="2:8" x14ac:dyDescent="0.2">
      <c r="B2342" s="87" t="str">
        <v/>
      </c>
      <c r="G2342" s="87">
        <v>0</v>
      </c>
      <c r="H2342" s="87" t="str">
        <v/>
      </c>
    </row>
    <row r="2343" spans="2:8" x14ac:dyDescent="0.2">
      <c r="B2343" s="87" t="str">
        <v/>
      </c>
      <c r="G2343" s="87">
        <v>0</v>
      </c>
      <c r="H2343" s="87" t="str">
        <v/>
      </c>
    </row>
    <row r="2344" spans="2:8" x14ac:dyDescent="0.2">
      <c r="B2344" s="87" t="str">
        <v/>
      </c>
      <c r="G2344" s="87">
        <v>0</v>
      </c>
      <c r="H2344" s="87" t="str">
        <v/>
      </c>
    </row>
    <row r="2345" spans="2:8" x14ac:dyDescent="0.2">
      <c r="B2345" s="87" t="str">
        <v/>
      </c>
      <c r="G2345" s="87">
        <v>0</v>
      </c>
      <c r="H2345" s="87" t="str">
        <v/>
      </c>
    </row>
    <row r="2346" spans="2:8" x14ac:dyDescent="0.2">
      <c r="B2346" s="87" t="str">
        <v/>
      </c>
      <c r="G2346" s="87">
        <v>0</v>
      </c>
      <c r="H2346" s="87" t="str">
        <v/>
      </c>
    </row>
    <row r="2347" spans="2:8" x14ac:dyDescent="0.2">
      <c r="B2347" s="87" t="str">
        <v/>
      </c>
      <c r="G2347" s="87">
        <v>0</v>
      </c>
      <c r="H2347" s="87" t="str">
        <v/>
      </c>
    </row>
    <row r="2348" spans="2:8" x14ac:dyDescent="0.2">
      <c r="B2348" s="87" t="str">
        <v/>
      </c>
      <c r="G2348" s="87">
        <v>0</v>
      </c>
      <c r="H2348" s="87" t="str">
        <v/>
      </c>
    </row>
    <row r="2349" spans="2:8" x14ac:dyDescent="0.2">
      <c r="B2349" s="87" t="str">
        <v/>
      </c>
      <c r="G2349" s="87">
        <v>0</v>
      </c>
      <c r="H2349" s="87" t="str">
        <v/>
      </c>
    </row>
    <row r="2350" spans="2:8" x14ac:dyDescent="0.2">
      <c r="B2350" s="87" t="str">
        <v/>
      </c>
      <c r="G2350" s="87">
        <v>0</v>
      </c>
      <c r="H2350" s="87" t="str">
        <v/>
      </c>
    </row>
    <row r="2351" spans="2:8" x14ac:dyDescent="0.2">
      <c r="B2351" s="87" t="str">
        <v/>
      </c>
      <c r="G2351" s="87">
        <v>0</v>
      </c>
      <c r="H2351" s="87" t="str">
        <v/>
      </c>
    </row>
    <row r="2352" spans="2:8" x14ac:dyDescent="0.2">
      <c r="B2352" s="87" t="str">
        <v/>
      </c>
      <c r="G2352" s="87">
        <v>0</v>
      </c>
      <c r="H2352" s="87" t="str">
        <v/>
      </c>
    </row>
    <row r="2353" spans="2:8" x14ac:dyDescent="0.2">
      <c r="B2353" s="87" t="str">
        <v/>
      </c>
      <c r="G2353" s="87">
        <v>0</v>
      </c>
      <c r="H2353" s="87" t="str">
        <v/>
      </c>
    </row>
    <row r="2354" spans="2:8" x14ac:dyDescent="0.2">
      <c r="B2354" s="87" t="str">
        <v/>
      </c>
      <c r="G2354" s="87">
        <v>0</v>
      </c>
      <c r="H2354" s="87" t="str">
        <v/>
      </c>
    </row>
    <row r="2355" spans="2:8" x14ac:dyDescent="0.2">
      <c r="B2355" s="87" t="str">
        <v/>
      </c>
      <c r="G2355" s="87">
        <v>0</v>
      </c>
      <c r="H2355" s="87" t="str">
        <v/>
      </c>
    </row>
    <row r="2356" spans="2:8" x14ac:dyDescent="0.2">
      <c r="B2356" s="87" t="str">
        <v/>
      </c>
      <c r="G2356" s="87">
        <v>0</v>
      </c>
      <c r="H2356" s="87" t="str">
        <v/>
      </c>
    </row>
    <row r="2357" spans="2:8" x14ac:dyDescent="0.2">
      <c r="B2357" s="87" t="str">
        <v/>
      </c>
      <c r="G2357" s="87">
        <v>0</v>
      </c>
      <c r="H2357" s="87" t="str">
        <v/>
      </c>
    </row>
    <row r="2358" spans="2:8" x14ac:dyDescent="0.2">
      <c r="B2358" s="87" t="str">
        <v/>
      </c>
      <c r="G2358" s="87">
        <v>0</v>
      </c>
      <c r="H2358" s="87" t="str">
        <v/>
      </c>
    </row>
    <row r="2359" spans="2:8" x14ac:dyDescent="0.2">
      <c r="B2359" s="87" t="str">
        <v/>
      </c>
      <c r="G2359" s="87">
        <v>0</v>
      </c>
      <c r="H2359" s="87" t="str">
        <v/>
      </c>
    </row>
    <row r="2360" spans="2:8" x14ac:dyDescent="0.2">
      <c r="B2360" s="87" t="str">
        <v/>
      </c>
      <c r="G2360" s="87">
        <v>0</v>
      </c>
      <c r="H2360" s="87" t="str">
        <v/>
      </c>
    </row>
    <row r="2361" spans="2:8" x14ac:dyDescent="0.2">
      <c r="B2361" s="87" t="str">
        <v/>
      </c>
      <c r="G2361" s="87">
        <v>0</v>
      </c>
      <c r="H2361" s="87" t="str">
        <v/>
      </c>
    </row>
    <row r="2362" spans="2:8" x14ac:dyDescent="0.2">
      <c r="B2362" s="87" t="str">
        <v/>
      </c>
      <c r="G2362" s="87">
        <v>0</v>
      </c>
      <c r="H2362" s="87" t="str">
        <v/>
      </c>
    </row>
    <row r="2363" spans="2:8" x14ac:dyDescent="0.2">
      <c r="B2363" s="87" t="str">
        <v/>
      </c>
      <c r="G2363" s="87">
        <v>0</v>
      </c>
      <c r="H2363" s="87" t="str">
        <v/>
      </c>
    </row>
    <row r="2364" spans="2:8" x14ac:dyDescent="0.2">
      <c r="B2364" s="87" t="str">
        <v/>
      </c>
      <c r="G2364" s="87">
        <v>0</v>
      </c>
      <c r="H2364" s="87" t="str">
        <v/>
      </c>
    </row>
    <row r="2365" spans="2:8" x14ac:dyDescent="0.2">
      <c r="B2365" s="87" t="str">
        <v/>
      </c>
      <c r="G2365" s="87">
        <v>0</v>
      </c>
      <c r="H2365" s="87" t="str">
        <v/>
      </c>
    </row>
    <row r="2366" spans="2:8" x14ac:dyDescent="0.2">
      <c r="B2366" s="87" t="str">
        <v/>
      </c>
      <c r="G2366" s="87">
        <v>0</v>
      </c>
      <c r="H2366" s="87" t="str">
        <v/>
      </c>
    </row>
    <row r="2367" spans="2:8" x14ac:dyDescent="0.2">
      <c r="B2367" s="87" t="str">
        <v/>
      </c>
      <c r="G2367" s="87">
        <v>0</v>
      </c>
      <c r="H2367" s="87" t="str">
        <v/>
      </c>
    </row>
    <row r="2368" spans="2:8" x14ac:dyDescent="0.2">
      <c r="B2368" s="87" t="str">
        <v/>
      </c>
      <c r="G2368" s="87">
        <v>0</v>
      </c>
      <c r="H2368" s="87" t="str">
        <v/>
      </c>
    </row>
    <row r="2369" spans="2:8" x14ac:dyDescent="0.2">
      <c r="B2369" s="87" t="str">
        <v/>
      </c>
      <c r="G2369" s="87">
        <v>0</v>
      </c>
      <c r="H2369" s="87" t="str">
        <v/>
      </c>
    </row>
    <row r="2370" spans="2:8" x14ac:dyDescent="0.2">
      <c r="B2370" s="87" t="str">
        <v/>
      </c>
      <c r="G2370" s="87">
        <v>0</v>
      </c>
      <c r="H2370" s="87" t="str">
        <v/>
      </c>
    </row>
    <row r="2371" spans="2:8" x14ac:dyDescent="0.2">
      <c r="B2371" s="87" t="str">
        <v/>
      </c>
      <c r="G2371" s="87">
        <v>0</v>
      </c>
      <c r="H2371" s="87" t="str">
        <v/>
      </c>
    </row>
    <row r="2372" spans="2:8" x14ac:dyDescent="0.2">
      <c r="B2372" s="87" t="str">
        <v/>
      </c>
      <c r="G2372" s="87">
        <v>0</v>
      </c>
      <c r="H2372" s="87" t="str">
        <v/>
      </c>
    </row>
    <row r="2373" spans="2:8" x14ac:dyDescent="0.2">
      <c r="B2373" s="87" t="str">
        <v/>
      </c>
      <c r="G2373" s="87">
        <v>0</v>
      </c>
      <c r="H2373" s="87" t="str">
        <v/>
      </c>
    </row>
    <row r="2374" spans="2:8" x14ac:dyDescent="0.2">
      <c r="B2374" s="87" t="str">
        <v/>
      </c>
      <c r="G2374" s="87">
        <v>0</v>
      </c>
      <c r="H2374" s="87" t="str">
        <v/>
      </c>
    </row>
    <row r="2375" spans="2:8" x14ac:dyDescent="0.2">
      <c r="B2375" s="87" t="str">
        <v/>
      </c>
      <c r="G2375" s="87">
        <v>0</v>
      </c>
      <c r="H2375" s="87" t="str">
        <v/>
      </c>
    </row>
    <row r="2376" spans="2:8" x14ac:dyDescent="0.2">
      <c r="B2376" s="87" t="str">
        <v/>
      </c>
      <c r="G2376" s="87">
        <v>0</v>
      </c>
      <c r="H2376" s="87" t="str">
        <v/>
      </c>
    </row>
    <row r="2377" spans="2:8" x14ac:dyDescent="0.2">
      <c r="B2377" s="87" t="str">
        <v/>
      </c>
      <c r="G2377" s="87">
        <v>0</v>
      </c>
      <c r="H2377" s="87" t="str">
        <v/>
      </c>
    </row>
    <row r="2378" spans="2:8" x14ac:dyDescent="0.2">
      <c r="B2378" s="87" t="str">
        <v/>
      </c>
      <c r="G2378" s="87">
        <v>0</v>
      </c>
      <c r="H2378" s="87" t="str">
        <v/>
      </c>
    </row>
    <row r="2379" spans="2:8" x14ac:dyDescent="0.2">
      <c r="B2379" s="87" t="str">
        <v/>
      </c>
      <c r="G2379" s="87">
        <v>0</v>
      </c>
      <c r="H2379" s="87" t="str">
        <v/>
      </c>
    </row>
    <row r="2380" spans="2:8" x14ac:dyDescent="0.2">
      <c r="B2380" s="87" t="str">
        <v/>
      </c>
      <c r="G2380" s="87">
        <v>0</v>
      </c>
      <c r="H2380" s="87" t="str">
        <v/>
      </c>
    </row>
    <row r="2381" spans="2:8" x14ac:dyDescent="0.2">
      <c r="B2381" s="87" t="str">
        <v/>
      </c>
      <c r="G2381" s="87">
        <v>0</v>
      </c>
      <c r="H2381" s="87" t="str">
        <v/>
      </c>
    </row>
    <row r="2382" spans="2:8" x14ac:dyDescent="0.2">
      <c r="B2382" s="87" t="str">
        <v/>
      </c>
      <c r="G2382" s="87">
        <v>0</v>
      </c>
      <c r="H2382" s="87" t="str">
        <v/>
      </c>
    </row>
    <row r="2383" spans="2:8" x14ac:dyDescent="0.2">
      <c r="B2383" s="87" t="str">
        <v/>
      </c>
      <c r="G2383" s="87">
        <v>0</v>
      </c>
      <c r="H2383" s="87" t="str">
        <v/>
      </c>
    </row>
    <row r="2384" spans="2:8" x14ac:dyDescent="0.2">
      <c r="B2384" s="87" t="str">
        <v/>
      </c>
      <c r="G2384" s="87">
        <v>0</v>
      </c>
      <c r="H2384" s="87" t="str">
        <v/>
      </c>
    </row>
    <row r="2385" spans="2:8" x14ac:dyDescent="0.2">
      <c r="B2385" s="87" t="str">
        <v/>
      </c>
      <c r="G2385" s="87">
        <v>0</v>
      </c>
      <c r="H2385" s="87" t="str">
        <v/>
      </c>
    </row>
    <row r="2386" spans="2:8" x14ac:dyDescent="0.2">
      <c r="B2386" s="87" t="str">
        <v/>
      </c>
      <c r="G2386" s="87">
        <v>0</v>
      </c>
      <c r="H2386" s="87" t="str">
        <v/>
      </c>
    </row>
    <row r="2387" spans="2:8" x14ac:dyDescent="0.2">
      <c r="B2387" s="87" t="str">
        <v/>
      </c>
      <c r="G2387" s="87">
        <v>0</v>
      </c>
      <c r="H2387" s="87" t="str">
        <v/>
      </c>
    </row>
    <row r="2388" spans="2:8" x14ac:dyDescent="0.2">
      <c r="B2388" s="87" t="str">
        <v/>
      </c>
      <c r="G2388" s="87">
        <v>0</v>
      </c>
      <c r="H2388" s="87" t="str">
        <v/>
      </c>
    </row>
    <row r="2389" spans="2:8" x14ac:dyDescent="0.2">
      <c r="B2389" s="87" t="str">
        <v/>
      </c>
      <c r="G2389" s="87">
        <v>0</v>
      </c>
      <c r="H2389" s="87" t="str">
        <v/>
      </c>
    </row>
    <row r="2390" spans="2:8" x14ac:dyDescent="0.2">
      <c r="B2390" s="87" t="str">
        <v/>
      </c>
      <c r="G2390" s="87">
        <v>0</v>
      </c>
      <c r="H2390" s="87" t="str">
        <v/>
      </c>
    </row>
    <row r="2391" spans="2:8" x14ac:dyDescent="0.2">
      <c r="B2391" s="87" t="str">
        <v/>
      </c>
      <c r="G2391" s="87">
        <v>0</v>
      </c>
      <c r="H2391" s="87" t="str">
        <v/>
      </c>
    </row>
    <row r="2392" spans="2:8" x14ac:dyDescent="0.2">
      <c r="B2392" s="87" t="str">
        <v/>
      </c>
      <c r="G2392" s="87">
        <v>0</v>
      </c>
      <c r="H2392" s="87" t="str">
        <v/>
      </c>
    </row>
    <row r="2393" spans="2:8" x14ac:dyDescent="0.2">
      <c r="B2393" s="87" t="str">
        <v/>
      </c>
      <c r="G2393" s="87">
        <v>0</v>
      </c>
      <c r="H2393" s="87" t="str">
        <v/>
      </c>
    </row>
    <row r="2394" spans="2:8" x14ac:dyDescent="0.2">
      <c r="B2394" s="87" t="str">
        <v/>
      </c>
      <c r="G2394" s="87">
        <v>0</v>
      </c>
      <c r="H2394" s="87" t="str">
        <v/>
      </c>
    </row>
    <row r="2395" spans="2:8" x14ac:dyDescent="0.2">
      <c r="B2395" s="87" t="str">
        <v/>
      </c>
      <c r="G2395" s="87">
        <v>0</v>
      </c>
      <c r="H2395" s="87" t="str">
        <v/>
      </c>
    </row>
    <row r="2396" spans="2:8" x14ac:dyDescent="0.2">
      <c r="B2396" s="87" t="str">
        <v/>
      </c>
      <c r="G2396" s="87">
        <v>0</v>
      </c>
      <c r="H2396" s="87" t="str">
        <v/>
      </c>
    </row>
    <row r="2397" spans="2:8" x14ac:dyDescent="0.2">
      <c r="B2397" s="87" t="str">
        <v/>
      </c>
      <c r="G2397" s="87">
        <v>0</v>
      </c>
      <c r="H2397" s="87" t="str">
        <v/>
      </c>
    </row>
    <row r="2398" spans="2:8" x14ac:dyDescent="0.2">
      <c r="B2398" s="87" t="str">
        <v/>
      </c>
      <c r="G2398" s="87">
        <v>0</v>
      </c>
      <c r="H2398" s="87" t="str">
        <v/>
      </c>
    </row>
    <row r="2399" spans="2:8" x14ac:dyDescent="0.2">
      <c r="B2399" s="87" t="str">
        <v/>
      </c>
      <c r="G2399" s="87">
        <v>0</v>
      </c>
      <c r="H2399" s="87" t="str">
        <v/>
      </c>
    </row>
    <row r="2400" spans="2:8" x14ac:dyDescent="0.2">
      <c r="B2400" s="87" t="str">
        <v/>
      </c>
      <c r="G2400" s="87">
        <v>0</v>
      </c>
      <c r="H2400" s="87" t="str">
        <v/>
      </c>
    </row>
    <row r="2401" spans="2:8" x14ac:dyDescent="0.2">
      <c r="B2401" s="87" t="str">
        <v/>
      </c>
      <c r="G2401" s="87">
        <v>0</v>
      </c>
      <c r="H2401" s="87" t="str">
        <v/>
      </c>
    </row>
    <row r="2402" spans="2:8" x14ac:dyDescent="0.2">
      <c r="B2402" s="87" t="str">
        <v/>
      </c>
      <c r="G2402" s="87">
        <v>0</v>
      </c>
      <c r="H2402" s="87" t="str">
        <v/>
      </c>
    </row>
    <row r="2403" spans="2:8" x14ac:dyDescent="0.2">
      <c r="B2403" s="87" t="str">
        <v/>
      </c>
      <c r="G2403" s="87">
        <v>0</v>
      </c>
      <c r="H2403" s="87" t="str">
        <v/>
      </c>
    </row>
    <row r="2404" spans="2:8" x14ac:dyDescent="0.2">
      <c r="B2404" s="87" t="str">
        <v/>
      </c>
      <c r="G2404" s="87">
        <v>0</v>
      </c>
      <c r="H2404" s="87" t="str">
        <v/>
      </c>
    </row>
    <row r="2405" spans="2:8" x14ac:dyDescent="0.2">
      <c r="B2405" s="87" t="str">
        <v/>
      </c>
      <c r="G2405" s="87">
        <v>0</v>
      </c>
      <c r="H2405" s="87" t="str">
        <v/>
      </c>
    </row>
    <row r="2406" spans="2:8" x14ac:dyDescent="0.2">
      <c r="B2406" s="87" t="str">
        <v/>
      </c>
      <c r="G2406" s="87">
        <v>0</v>
      </c>
      <c r="H2406" s="87" t="str">
        <v/>
      </c>
    </row>
    <row r="2407" spans="2:8" x14ac:dyDescent="0.2">
      <c r="B2407" s="87" t="str">
        <v/>
      </c>
      <c r="G2407" s="87">
        <v>0</v>
      </c>
      <c r="H2407" s="87" t="str">
        <v/>
      </c>
    </row>
    <row r="2408" spans="2:8" x14ac:dyDescent="0.2">
      <c r="B2408" s="87" t="str">
        <v/>
      </c>
      <c r="G2408" s="87">
        <v>0</v>
      </c>
      <c r="H2408" s="87" t="str">
        <v/>
      </c>
    </row>
    <row r="2409" spans="2:8" x14ac:dyDescent="0.2">
      <c r="B2409" s="87" t="str">
        <v/>
      </c>
      <c r="G2409" s="87">
        <v>0</v>
      </c>
      <c r="H2409" s="87" t="str">
        <v/>
      </c>
    </row>
    <row r="2410" spans="2:8" x14ac:dyDescent="0.2">
      <c r="B2410" s="87" t="str">
        <v/>
      </c>
      <c r="G2410" s="87">
        <v>0</v>
      </c>
      <c r="H2410" s="87" t="str">
        <v/>
      </c>
    </row>
    <row r="2411" spans="2:8" x14ac:dyDescent="0.2">
      <c r="B2411" s="87" t="str">
        <v/>
      </c>
      <c r="G2411" s="87">
        <v>0</v>
      </c>
      <c r="H2411" s="87" t="str">
        <v/>
      </c>
    </row>
    <row r="2412" spans="2:8" x14ac:dyDescent="0.2">
      <c r="B2412" s="87" t="str">
        <v/>
      </c>
      <c r="G2412" s="87">
        <v>0</v>
      </c>
      <c r="H2412" s="87" t="str">
        <v/>
      </c>
    </row>
    <row r="2413" spans="2:8" x14ac:dyDescent="0.2">
      <c r="B2413" s="87" t="str">
        <v/>
      </c>
      <c r="G2413" s="87">
        <v>0</v>
      </c>
      <c r="H2413" s="87" t="str">
        <v/>
      </c>
    </row>
    <row r="2414" spans="2:8" x14ac:dyDescent="0.2">
      <c r="B2414" s="87" t="str">
        <v/>
      </c>
      <c r="G2414" s="87">
        <v>0</v>
      </c>
      <c r="H2414" s="87" t="str">
        <v/>
      </c>
    </row>
    <row r="2415" spans="2:8" x14ac:dyDescent="0.2">
      <c r="B2415" s="87" t="str">
        <v/>
      </c>
      <c r="G2415" s="87">
        <v>0</v>
      </c>
      <c r="H2415" s="87" t="str">
        <v/>
      </c>
    </row>
    <row r="2416" spans="2:8" x14ac:dyDescent="0.2">
      <c r="B2416" s="87" t="str">
        <v/>
      </c>
      <c r="G2416" s="87">
        <v>0</v>
      </c>
      <c r="H2416" s="87" t="str">
        <v/>
      </c>
    </row>
    <row r="2417" spans="2:8" x14ac:dyDescent="0.2">
      <c r="B2417" s="87" t="str">
        <v/>
      </c>
      <c r="G2417" s="87">
        <v>0</v>
      </c>
      <c r="H2417" s="87" t="str">
        <v/>
      </c>
    </row>
    <row r="2418" spans="2:8" x14ac:dyDescent="0.2">
      <c r="B2418" s="87" t="str">
        <v/>
      </c>
      <c r="G2418" s="87">
        <v>0</v>
      </c>
      <c r="H2418" s="87" t="str">
        <v/>
      </c>
    </row>
    <row r="2419" spans="2:8" x14ac:dyDescent="0.2">
      <c r="B2419" s="87" t="str">
        <v/>
      </c>
      <c r="G2419" s="87">
        <v>0</v>
      </c>
      <c r="H2419" s="87" t="str">
        <v/>
      </c>
    </row>
    <row r="2420" spans="2:8" x14ac:dyDescent="0.2">
      <c r="B2420" s="87" t="str">
        <v/>
      </c>
      <c r="G2420" s="87">
        <v>0</v>
      </c>
      <c r="H2420" s="87" t="str">
        <v/>
      </c>
    </row>
    <row r="2421" spans="2:8" x14ac:dyDescent="0.2">
      <c r="B2421" s="87" t="str">
        <v/>
      </c>
      <c r="G2421" s="87">
        <v>0</v>
      </c>
      <c r="H2421" s="87" t="str">
        <v/>
      </c>
    </row>
    <row r="2422" spans="2:8" x14ac:dyDescent="0.2">
      <c r="B2422" s="87" t="str">
        <v/>
      </c>
      <c r="G2422" s="87">
        <v>0</v>
      </c>
      <c r="H2422" s="87" t="str">
        <v/>
      </c>
    </row>
    <row r="2423" spans="2:8" x14ac:dyDescent="0.2">
      <c r="B2423" s="87" t="str">
        <v/>
      </c>
      <c r="G2423" s="87">
        <v>0</v>
      </c>
      <c r="H2423" s="87" t="str">
        <v/>
      </c>
    </row>
    <row r="2424" spans="2:8" x14ac:dyDescent="0.2">
      <c r="B2424" s="87" t="str">
        <v/>
      </c>
      <c r="G2424" s="87">
        <v>0</v>
      </c>
      <c r="H2424" s="87" t="str">
        <v/>
      </c>
    </row>
    <row r="2425" spans="2:8" x14ac:dyDescent="0.2">
      <c r="B2425" s="87" t="str">
        <v/>
      </c>
      <c r="G2425" s="87">
        <v>0</v>
      </c>
      <c r="H2425" s="87" t="str">
        <v/>
      </c>
    </row>
    <row r="2426" spans="2:8" x14ac:dyDescent="0.2">
      <c r="B2426" s="87" t="str">
        <v/>
      </c>
      <c r="G2426" s="87">
        <v>0</v>
      </c>
      <c r="H2426" s="87" t="str">
        <v/>
      </c>
    </row>
    <row r="2427" spans="2:8" x14ac:dyDescent="0.2">
      <c r="B2427" s="87" t="str">
        <v/>
      </c>
      <c r="G2427" s="87">
        <v>0</v>
      </c>
      <c r="H2427" s="87" t="str">
        <v/>
      </c>
    </row>
    <row r="2428" spans="2:8" x14ac:dyDescent="0.2">
      <c r="B2428" s="87" t="str">
        <v/>
      </c>
      <c r="G2428" s="87">
        <v>0</v>
      </c>
      <c r="H2428" s="87" t="str">
        <v/>
      </c>
    </row>
    <row r="2429" spans="2:8" x14ac:dyDescent="0.2">
      <c r="B2429" s="87" t="str">
        <v/>
      </c>
      <c r="G2429" s="87">
        <v>0</v>
      </c>
      <c r="H2429" s="87" t="str">
        <v/>
      </c>
    </row>
    <row r="2430" spans="2:8" x14ac:dyDescent="0.2">
      <c r="B2430" s="87" t="str">
        <v/>
      </c>
      <c r="G2430" s="87">
        <v>0</v>
      </c>
      <c r="H2430" s="87" t="str">
        <v/>
      </c>
    </row>
    <row r="2431" spans="2:8" x14ac:dyDescent="0.2">
      <c r="B2431" s="87" t="str">
        <v/>
      </c>
      <c r="G2431" s="87">
        <v>0</v>
      </c>
      <c r="H2431" s="87" t="str">
        <v/>
      </c>
    </row>
    <row r="2432" spans="2:8" x14ac:dyDescent="0.2">
      <c r="B2432" s="87" t="str">
        <v/>
      </c>
      <c r="G2432" s="87">
        <v>0</v>
      </c>
      <c r="H2432" s="87" t="str">
        <v/>
      </c>
    </row>
    <row r="2433" spans="2:8" x14ac:dyDescent="0.2">
      <c r="B2433" s="87" t="str">
        <v/>
      </c>
      <c r="G2433" s="87">
        <v>0</v>
      </c>
      <c r="H2433" s="87" t="str">
        <v/>
      </c>
    </row>
    <row r="2434" spans="2:8" x14ac:dyDescent="0.2">
      <c r="B2434" s="87" t="str">
        <v/>
      </c>
      <c r="G2434" s="87">
        <v>0</v>
      </c>
      <c r="H2434" s="87" t="str">
        <v/>
      </c>
    </row>
    <row r="2435" spans="2:8" x14ac:dyDescent="0.2">
      <c r="B2435" s="87" t="str">
        <v/>
      </c>
      <c r="G2435" s="87">
        <v>0</v>
      </c>
      <c r="H2435" s="87" t="str">
        <v/>
      </c>
    </row>
    <row r="2436" spans="2:8" x14ac:dyDescent="0.2">
      <c r="B2436" s="87" t="str">
        <v/>
      </c>
      <c r="G2436" s="87">
        <v>0</v>
      </c>
      <c r="H2436" s="87" t="str">
        <v/>
      </c>
    </row>
    <row r="2437" spans="2:8" x14ac:dyDescent="0.2">
      <c r="B2437" s="87" t="str">
        <v/>
      </c>
      <c r="G2437" s="87">
        <v>0</v>
      </c>
      <c r="H2437" s="87" t="str">
        <v/>
      </c>
    </row>
    <row r="2438" spans="2:8" x14ac:dyDescent="0.2">
      <c r="B2438" s="87" t="str">
        <v/>
      </c>
      <c r="G2438" s="87">
        <v>0</v>
      </c>
      <c r="H2438" s="87" t="str">
        <v/>
      </c>
    </row>
    <row r="2439" spans="2:8" x14ac:dyDescent="0.2">
      <c r="B2439" s="87" t="str">
        <v/>
      </c>
      <c r="G2439" s="87">
        <v>0</v>
      </c>
      <c r="H2439" s="87" t="str">
        <v/>
      </c>
    </row>
    <row r="2440" spans="2:8" x14ac:dyDescent="0.2">
      <c r="B2440" s="87" t="str">
        <v/>
      </c>
      <c r="G2440" s="87">
        <v>0</v>
      </c>
      <c r="H2440" s="87" t="str">
        <v/>
      </c>
    </row>
    <row r="2441" spans="2:8" x14ac:dyDescent="0.2">
      <c r="B2441" s="87" t="str">
        <v/>
      </c>
      <c r="G2441" s="87">
        <v>0</v>
      </c>
      <c r="H2441" s="87" t="str">
        <v/>
      </c>
    </row>
    <row r="2442" spans="2:8" x14ac:dyDescent="0.2">
      <c r="B2442" s="87" t="str">
        <v/>
      </c>
      <c r="G2442" s="87">
        <v>0</v>
      </c>
      <c r="H2442" s="87" t="str">
        <v/>
      </c>
    </row>
    <row r="2443" spans="2:8" x14ac:dyDescent="0.2">
      <c r="B2443" s="87" t="str">
        <v/>
      </c>
      <c r="G2443" s="87">
        <v>0</v>
      </c>
      <c r="H2443" s="87" t="str">
        <v/>
      </c>
    </row>
    <row r="2444" spans="2:8" x14ac:dyDescent="0.2">
      <c r="B2444" s="87" t="str">
        <v/>
      </c>
      <c r="G2444" s="87">
        <v>0</v>
      </c>
      <c r="H2444" s="87" t="str">
        <v/>
      </c>
    </row>
    <row r="2445" spans="2:8" x14ac:dyDescent="0.2">
      <c r="B2445" s="87" t="str">
        <v/>
      </c>
      <c r="G2445" s="87">
        <v>0</v>
      </c>
      <c r="H2445" s="87" t="str">
        <v/>
      </c>
    </row>
    <row r="2446" spans="2:8" x14ac:dyDescent="0.2">
      <c r="B2446" s="87" t="str">
        <v/>
      </c>
      <c r="G2446" s="87">
        <v>0</v>
      </c>
      <c r="H2446" s="87" t="str">
        <v/>
      </c>
    </row>
    <row r="2447" spans="2:8" x14ac:dyDescent="0.2">
      <c r="B2447" s="87" t="str">
        <v/>
      </c>
      <c r="G2447" s="87">
        <v>0</v>
      </c>
      <c r="H2447" s="87" t="str">
        <v/>
      </c>
    </row>
    <row r="2448" spans="2:8" x14ac:dyDescent="0.2">
      <c r="B2448" s="87" t="str">
        <v/>
      </c>
      <c r="G2448" s="87">
        <v>0</v>
      </c>
      <c r="H2448" s="87" t="str">
        <v/>
      </c>
    </row>
    <row r="2449" spans="2:8" x14ac:dyDescent="0.2">
      <c r="B2449" s="87" t="str">
        <v/>
      </c>
      <c r="G2449" s="87">
        <v>0</v>
      </c>
      <c r="H2449" s="87" t="str">
        <v/>
      </c>
    </row>
    <row r="2450" spans="2:8" x14ac:dyDescent="0.2">
      <c r="B2450" s="87" t="str">
        <v/>
      </c>
      <c r="G2450" s="87">
        <v>0</v>
      </c>
      <c r="H2450" s="87" t="str">
        <v/>
      </c>
    </row>
    <row r="2451" spans="2:8" x14ac:dyDescent="0.2">
      <c r="B2451" s="87" t="str">
        <v/>
      </c>
      <c r="G2451" s="87">
        <v>0</v>
      </c>
      <c r="H2451" s="87" t="str">
        <v/>
      </c>
    </row>
    <row r="2452" spans="2:8" x14ac:dyDescent="0.2">
      <c r="B2452" s="87" t="str">
        <v/>
      </c>
      <c r="G2452" s="87">
        <v>0</v>
      </c>
      <c r="H2452" s="87" t="str">
        <v/>
      </c>
    </row>
    <row r="2453" spans="2:8" x14ac:dyDescent="0.2">
      <c r="B2453" s="87" t="str">
        <v/>
      </c>
      <c r="G2453" s="87">
        <v>0</v>
      </c>
      <c r="H2453" s="87" t="str">
        <v/>
      </c>
    </row>
    <row r="2454" spans="2:8" x14ac:dyDescent="0.2">
      <c r="B2454" s="87" t="str">
        <v/>
      </c>
      <c r="G2454" s="87">
        <v>0</v>
      </c>
      <c r="H2454" s="87" t="str">
        <v/>
      </c>
    </row>
    <row r="2455" spans="2:8" x14ac:dyDescent="0.2">
      <c r="B2455" s="87" t="str">
        <v/>
      </c>
      <c r="G2455" s="87">
        <v>0</v>
      </c>
      <c r="H2455" s="87" t="str">
        <v/>
      </c>
    </row>
    <row r="2456" spans="2:8" x14ac:dyDescent="0.2">
      <c r="B2456" s="87" t="str">
        <v/>
      </c>
      <c r="G2456" s="87">
        <v>0</v>
      </c>
      <c r="H2456" s="87" t="str">
        <v/>
      </c>
    </row>
    <row r="2457" spans="2:8" x14ac:dyDescent="0.2">
      <c r="B2457" s="87" t="str">
        <v/>
      </c>
      <c r="G2457" s="87">
        <v>0</v>
      </c>
      <c r="H2457" s="87" t="str">
        <v/>
      </c>
    </row>
    <row r="2458" spans="2:8" x14ac:dyDescent="0.2">
      <c r="B2458" s="87" t="str">
        <v/>
      </c>
      <c r="G2458" s="87">
        <v>0</v>
      </c>
      <c r="H2458" s="87" t="str">
        <v/>
      </c>
    </row>
    <row r="2459" spans="2:8" x14ac:dyDescent="0.2">
      <c r="B2459" s="87" t="str">
        <v/>
      </c>
      <c r="G2459" s="87">
        <v>0</v>
      </c>
      <c r="H2459" s="87" t="str">
        <v/>
      </c>
    </row>
    <row r="2460" spans="2:8" x14ac:dyDescent="0.2">
      <c r="B2460" s="87" t="str">
        <v/>
      </c>
      <c r="G2460" s="87">
        <v>0</v>
      </c>
      <c r="H2460" s="87" t="str">
        <v/>
      </c>
    </row>
    <row r="2461" spans="2:8" x14ac:dyDescent="0.2">
      <c r="B2461" s="87" t="str">
        <v/>
      </c>
      <c r="G2461" s="87">
        <v>0</v>
      </c>
      <c r="H2461" s="87" t="str">
        <v/>
      </c>
    </row>
    <row r="2462" spans="2:8" x14ac:dyDescent="0.2">
      <c r="B2462" s="87" t="str">
        <v/>
      </c>
      <c r="G2462" s="87">
        <v>0</v>
      </c>
      <c r="H2462" s="87" t="str">
        <v/>
      </c>
    </row>
    <row r="2463" spans="2:8" x14ac:dyDescent="0.2">
      <c r="B2463" s="87" t="str">
        <v/>
      </c>
      <c r="G2463" s="87">
        <v>0</v>
      </c>
      <c r="H2463" s="87" t="str">
        <v/>
      </c>
    </row>
    <row r="2464" spans="2:8" x14ac:dyDescent="0.2">
      <c r="B2464" s="87" t="str">
        <v/>
      </c>
      <c r="G2464" s="87">
        <v>0</v>
      </c>
      <c r="H2464" s="87" t="str">
        <v/>
      </c>
    </row>
    <row r="2465" spans="2:8" x14ac:dyDescent="0.2">
      <c r="B2465" s="87" t="str">
        <v/>
      </c>
      <c r="G2465" s="87">
        <v>0</v>
      </c>
      <c r="H2465" s="87" t="str">
        <v/>
      </c>
    </row>
    <row r="2466" spans="2:8" x14ac:dyDescent="0.2">
      <c r="B2466" s="87" t="str">
        <v/>
      </c>
      <c r="G2466" s="87">
        <v>0</v>
      </c>
      <c r="H2466" s="87" t="str">
        <v/>
      </c>
    </row>
    <row r="2467" spans="2:8" x14ac:dyDescent="0.2">
      <c r="B2467" s="87" t="str">
        <v/>
      </c>
      <c r="G2467" s="87">
        <v>0</v>
      </c>
      <c r="H2467" s="87" t="str">
        <v/>
      </c>
    </row>
    <row r="2468" spans="2:8" x14ac:dyDescent="0.2">
      <c r="B2468" s="87" t="str">
        <v/>
      </c>
      <c r="G2468" s="87">
        <v>0</v>
      </c>
      <c r="H2468" s="87" t="str">
        <v/>
      </c>
    </row>
    <row r="2469" spans="2:8" x14ac:dyDescent="0.2">
      <c r="B2469" s="87" t="str">
        <v/>
      </c>
      <c r="G2469" s="87">
        <v>0</v>
      </c>
      <c r="H2469" s="87" t="str">
        <v/>
      </c>
    </row>
    <row r="2470" spans="2:8" x14ac:dyDescent="0.2">
      <c r="B2470" s="87" t="str">
        <v/>
      </c>
      <c r="G2470" s="87">
        <v>0</v>
      </c>
      <c r="H2470" s="87" t="str">
        <v/>
      </c>
    </row>
    <row r="2471" spans="2:8" x14ac:dyDescent="0.2">
      <c r="B2471" s="87" t="str">
        <v/>
      </c>
      <c r="G2471" s="87">
        <v>0</v>
      </c>
      <c r="H2471" s="87" t="str">
        <v/>
      </c>
    </row>
    <row r="2472" spans="2:8" x14ac:dyDescent="0.2">
      <c r="B2472" s="87" t="str">
        <v/>
      </c>
      <c r="G2472" s="87">
        <v>0</v>
      </c>
      <c r="H2472" s="87" t="str">
        <v/>
      </c>
    </row>
    <row r="2473" spans="2:8" x14ac:dyDescent="0.2">
      <c r="B2473" s="87" t="str">
        <v/>
      </c>
      <c r="G2473" s="87">
        <v>0</v>
      </c>
      <c r="H2473" s="87" t="str">
        <v/>
      </c>
    </row>
    <row r="2474" spans="2:8" x14ac:dyDescent="0.2">
      <c r="B2474" s="87" t="str">
        <v/>
      </c>
      <c r="G2474" s="87">
        <v>0</v>
      </c>
      <c r="H2474" s="87" t="str">
        <v/>
      </c>
    </row>
    <row r="2475" spans="2:8" x14ac:dyDescent="0.2">
      <c r="B2475" s="87" t="str">
        <v/>
      </c>
      <c r="G2475" s="87">
        <v>0</v>
      </c>
      <c r="H2475" s="87" t="str">
        <v/>
      </c>
    </row>
    <row r="2476" spans="2:8" x14ac:dyDescent="0.2">
      <c r="B2476" s="87" t="str">
        <v/>
      </c>
      <c r="G2476" s="87">
        <v>0</v>
      </c>
      <c r="H2476" s="87" t="str">
        <v/>
      </c>
    </row>
    <row r="2477" spans="2:8" x14ac:dyDescent="0.2">
      <c r="B2477" s="87" t="str">
        <v/>
      </c>
      <c r="G2477" s="87">
        <v>0</v>
      </c>
      <c r="H2477" s="87" t="str">
        <v/>
      </c>
    </row>
    <row r="2478" spans="2:8" x14ac:dyDescent="0.2">
      <c r="B2478" s="87" t="str">
        <v/>
      </c>
      <c r="G2478" s="87">
        <v>0</v>
      </c>
      <c r="H2478" s="87" t="str">
        <v/>
      </c>
    </row>
    <row r="2479" spans="2:8" x14ac:dyDescent="0.2">
      <c r="B2479" s="87" t="str">
        <v/>
      </c>
      <c r="G2479" s="87">
        <v>0</v>
      </c>
      <c r="H2479" s="87" t="str">
        <v/>
      </c>
    </row>
    <row r="2480" spans="2:8" x14ac:dyDescent="0.2">
      <c r="B2480" s="87" t="str">
        <v/>
      </c>
      <c r="G2480" s="87">
        <v>0</v>
      </c>
      <c r="H2480" s="87" t="str">
        <v/>
      </c>
    </row>
    <row r="2481" spans="2:8" x14ac:dyDescent="0.2">
      <c r="B2481" s="87" t="str">
        <v/>
      </c>
      <c r="G2481" s="87">
        <v>0</v>
      </c>
      <c r="H2481" s="87" t="str">
        <v/>
      </c>
    </row>
    <row r="2482" spans="2:8" x14ac:dyDescent="0.2">
      <c r="B2482" s="87" t="str">
        <v/>
      </c>
      <c r="G2482" s="87">
        <v>0</v>
      </c>
      <c r="H2482" s="87" t="str">
        <v/>
      </c>
    </row>
    <row r="2483" spans="2:8" x14ac:dyDescent="0.2">
      <c r="B2483" s="87" t="str">
        <v/>
      </c>
      <c r="G2483" s="87">
        <v>0</v>
      </c>
      <c r="H2483" s="87" t="str">
        <v/>
      </c>
    </row>
    <row r="2484" spans="2:8" x14ac:dyDescent="0.2">
      <c r="B2484" s="87" t="str">
        <v/>
      </c>
      <c r="G2484" s="87">
        <v>0</v>
      </c>
      <c r="H2484" s="87" t="str">
        <v/>
      </c>
    </row>
    <row r="2485" spans="2:8" x14ac:dyDescent="0.2">
      <c r="B2485" s="87" t="str">
        <v/>
      </c>
      <c r="G2485" s="87">
        <v>0</v>
      </c>
      <c r="H2485" s="87" t="str">
        <v/>
      </c>
    </row>
    <row r="2486" spans="2:8" x14ac:dyDescent="0.2">
      <c r="B2486" s="87" t="str">
        <v/>
      </c>
      <c r="G2486" s="87">
        <v>0</v>
      </c>
      <c r="H2486" s="87" t="str">
        <v/>
      </c>
    </row>
    <row r="2487" spans="2:8" x14ac:dyDescent="0.2">
      <c r="B2487" s="87" t="str">
        <v/>
      </c>
      <c r="G2487" s="87">
        <v>0</v>
      </c>
      <c r="H2487" s="87" t="str">
        <v/>
      </c>
    </row>
    <row r="2488" spans="2:8" x14ac:dyDescent="0.2">
      <c r="B2488" s="87" t="str">
        <v/>
      </c>
      <c r="G2488" s="87">
        <v>0</v>
      </c>
      <c r="H2488" s="87" t="str">
        <v/>
      </c>
    </row>
    <row r="2489" spans="2:8" x14ac:dyDescent="0.2">
      <c r="B2489" s="87" t="str">
        <v/>
      </c>
      <c r="G2489" s="87">
        <v>0</v>
      </c>
      <c r="H2489" s="87" t="str">
        <v/>
      </c>
    </row>
    <row r="2490" spans="2:8" x14ac:dyDescent="0.2">
      <c r="B2490" s="87" t="str">
        <v/>
      </c>
      <c r="G2490" s="87">
        <v>0</v>
      </c>
      <c r="H2490" s="87" t="str">
        <v/>
      </c>
    </row>
    <row r="2491" spans="2:8" x14ac:dyDescent="0.2">
      <c r="B2491" s="87" t="str">
        <v/>
      </c>
      <c r="G2491" s="87">
        <v>0</v>
      </c>
      <c r="H2491" s="87" t="str">
        <v/>
      </c>
    </row>
    <row r="2492" spans="2:8" x14ac:dyDescent="0.2">
      <c r="B2492" s="87" t="str">
        <v/>
      </c>
      <c r="G2492" s="87">
        <v>0</v>
      </c>
      <c r="H2492" s="87" t="str">
        <v/>
      </c>
    </row>
    <row r="2493" spans="2:8" x14ac:dyDescent="0.2">
      <c r="B2493" s="87" t="str">
        <v/>
      </c>
      <c r="G2493" s="87">
        <v>0</v>
      </c>
      <c r="H2493" s="87" t="str">
        <v/>
      </c>
    </row>
    <row r="2494" spans="2:8" x14ac:dyDescent="0.2">
      <c r="B2494" s="87" t="str">
        <v/>
      </c>
      <c r="G2494" s="87">
        <v>0</v>
      </c>
      <c r="H2494" s="87" t="str">
        <v/>
      </c>
    </row>
    <row r="2495" spans="2:8" x14ac:dyDescent="0.2">
      <c r="B2495" s="87" t="str">
        <v/>
      </c>
      <c r="G2495" s="87">
        <v>0</v>
      </c>
      <c r="H2495" s="87" t="str">
        <v/>
      </c>
    </row>
    <row r="2496" spans="2:8" x14ac:dyDescent="0.2">
      <c r="B2496" s="87" t="str">
        <v/>
      </c>
      <c r="G2496" s="87">
        <v>0</v>
      </c>
      <c r="H2496" s="87" t="str">
        <v/>
      </c>
    </row>
    <row r="2497" spans="2:8" x14ac:dyDescent="0.2">
      <c r="B2497" s="87" t="str">
        <v/>
      </c>
      <c r="G2497" s="87">
        <v>0</v>
      </c>
      <c r="H2497" s="87" t="str">
        <v/>
      </c>
    </row>
    <row r="2498" spans="2:8" x14ac:dyDescent="0.2">
      <c r="B2498" s="87" t="str">
        <v/>
      </c>
      <c r="G2498" s="87">
        <v>0</v>
      </c>
      <c r="H2498" s="87" t="str">
        <v/>
      </c>
    </row>
    <row r="2499" spans="2:8" x14ac:dyDescent="0.2">
      <c r="B2499" s="87" t="str">
        <v/>
      </c>
      <c r="G2499" s="87">
        <v>0</v>
      </c>
      <c r="H2499" s="87" t="str">
        <v/>
      </c>
    </row>
    <row r="2500" spans="2:8" x14ac:dyDescent="0.2">
      <c r="B2500" s="87" t="str">
        <v/>
      </c>
      <c r="G2500" s="87">
        <v>0</v>
      </c>
      <c r="H2500" s="87" t="str">
        <v/>
      </c>
    </row>
    <row r="2501" spans="2:8" x14ac:dyDescent="0.2">
      <c r="B2501" s="87" t="str">
        <v/>
      </c>
      <c r="G2501" s="87">
        <v>0</v>
      </c>
      <c r="H2501" s="87" t="str">
        <v/>
      </c>
    </row>
    <row r="2502" spans="2:8" x14ac:dyDescent="0.2">
      <c r="B2502" s="87" t="str">
        <v/>
      </c>
      <c r="G2502" s="87">
        <v>0</v>
      </c>
      <c r="H2502" s="87" t="str">
        <v/>
      </c>
    </row>
    <row r="2503" spans="2:8" x14ac:dyDescent="0.2">
      <c r="B2503" s="87" t="str">
        <v/>
      </c>
      <c r="G2503" s="87">
        <v>0</v>
      </c>
      <c r="H2503" s="87" t="str">
        <v/>
      </c>
    </row>
    <row r="2504" spans="2:8" x14ac:dyDescent="0.2">
      <c r="B2504" s="87" t="str">
        <v/>
      </c>
      <c r="G2504" s="87">
        <v>0</v>
      </c>
      <c r="H2504" s="87" t="str">
        <v/>
      </c>
    </row>
    <row r="2505" spans="2:8" x14ac:dyDescent="0.2">
      <c r="B2505" s="87" t="str">
        <v/>
      </c>
      <c r="G2505" s="87">
        <v>0</v>
      </c>
      <c r="H2505" s="87" t="str">
        <v/>
      </c>
    </row>
    <row r="2506" spans="2:8" x14ac:dyDescent="0.2">
      <c r="B2506" s="87" t="str">
        <v/>
      </c>
      <c r="G2506" s="87">
        <v>0</v>
      </c>
      <c r="H2506" s="87" t="str">
        <v/>
      </c>
    </row>
    <row r="2507" spans="2:8" x14ac:dyDescent="0.2">
      <c r="B2507" s="87" t="str">
        <v/>
      </c>
      <c r="G2507" s="87">
        <v>0</v>
      </c>
      <c r="H2507" s="87" t="str">
        <v/>
      </c>
    </row>
    <row r="2508" spans="2:8" x14ac:dyDescent="0.2">
      <c r="B2508" s="87" t="str">
        <v/>
      </c>
      <c r="G2508" s="87">
        <v>0</v>
      </c>
      <c r="H2508" s="87" t="str">
        <v/>
      </c>
    </row>
    <row r="2509" spans="2:8" x14ac:dyDescent="0.2">
      <c r="B2509" s="87" t="str">
        <v/>
      </c>
      <c r="G2509" s="87">
        <v>0</v>
      </c>
      <c r="H2509" s="87" t="str">
        <v/>
      </c>
    </row>
    <row r="2510" spans="2:8" x14ac:dyDescent="0.2">
      <c r="B2510" s="87" t="str">
        <v/>
      </c>
      <c r="G2510" s="87">
        <v>0</v>
      </c>
      <c r="H2510" s="87" t="str">
        <v/>
      </c>
    </row>
    <row r="2511" spans="2:8" x14ac:dyDescent="0.2">
      <c r="B2511" s="87" t="str">
        <v/>
      </c>
      <c r="G2511" s="87">
        <v>0</v>
      </c>
      <c r="H2511" s="87" t="str">
        <v/>
      </c>
    </row>
    <row r="2512" spans="2:8" x14ac:dyDescent="0.2">
      <c r="B2512" s="87" t="str">
        <v/>
      </c>
      <c r="G2512" s="87">
        <v>0</v>
      </c>
      <c r="H2512" s="87" t="str">
        <v/>
      </c>
    </row>
    <row r="2513" spans="2:8" x14ac:dyDescent="0.2">
      <c r="B2513" s="87" t="str">
        <v/>
      </c>
      <c r="G2513" s="87">
        <v>0</v>
      </c>
      <c r="H2513" s="87" t="str">
        <v/>
      </c>
    </row>
    <row r="2514" spans="2:8" x14ac:dyDescent="0.2">
      <c r="B2514" s="87" t="str">
        <v/>
      </c>
      <c r="G2514" s="87">
        <v>0</v>
      </c>
      <c r="H2514" s="87" t="str">
        <v/>
      </c>
    </row>
    <row r="2515" spans="2:8" x14ac:dyDescent="0.2">
      <c r="B2515" s="87" t="str">
        <v/>
      </c>
      <c r="G2515" s="87">
        <v>0</v>
      </c>
      <c r="H2515" s="87" t="str">
        <v/>
      </c>
    </row>
    <row r="2516" spans="2:8" x14ac:dyDescent="0.2">
      <c r="B2516" s="87" t="str">
        <v/>
      </c>
      <c r="G2516" s="87">
        <v>0</v>
      </c>
      <c r="H2516" s="87" t="str">
        <v/>
      </c>
    </row>
    <row r="2517" spans="2:8" x14ac:dyDescent="0.2">
      <c r="B2517" s="87" t="str">
        <v/>
      </c>
      <c r="G2517" s="87">
        <v>0</v>
      </c>
      <c r="H2517" s="87" t="str">
        <v/>
      </c>
    </row>
    <row r="2518" spans="2:8" x14ac:dyDescent="0.2">
      <c r="B2518" s="87" t="str">
        <v/>
      </c>
      <c r="G2518" s="87">
        <v>0</v>
      </c>
      <c r="H2518" s="87" t="str">
        <v/>
      </c>
    </row>
    <row r="2519" spans="2:8" x14ac:dyDescent="0.2">
      <c r="B2519" s="87" t="str">
        <v/>
      </c>
      <c r="G2519" s="87">
        <v>0</v>
      </c>
      <c r="H2519" s="87" t="str">
        <v/>
      </c>
    </row>
    <row r="2520" spans="2:8" x14ac:dyDescent="0.2">
      <c r="B2520" s="87" t="str">
        <v/>
      </c>
      <c r="G2520" s="87">
        <v>0</v>
      </c>
      <c r="H2520" s="87" t="str">
        <v/>
      </c>
    </row>
    <row r="2521" spans="2:8" x14ac:dyDescent="0.2">
      <c r="B2521" s="87" t="str">
        <v/>
      </c>
      <c r="G2521" s="87">
        <v>0</v>
      </c>
      <c r="H2521" s="87" t="str">
        <v/>
      </c>
    </row>
    <row r="2522" spans="2:8" x14ac:dyDescent="0.2">
      <c r="B2522" s="87" t="str">
        <v/>
      </c>
      <c r="G2522" s="87">
        <v>0</v>
      </c>
      <c r="H2522" s="87" t="str">
        <v/>
      </c>
    </row>
    <row r="2523" spans="2:8" x14ac:dyDescent="0.2">
      <c r="B2523" s="87" t="str">
        <v/>
      </c>
      <c r="G2523" s="87">
        <v>0</v>
      </c>
      <c r="H2523" s="87" t="str">
        <v/>
      </c>
    </row>
    <row r="2524" spans="2:8" x14ac:dyDescent="0.2">
      <c r="B2524" s="87" t="str">
        <v/>
      </c>
      <c r="G2524" s="87">
        <v>0</v>
      </c>
      <c r="H2524" s="87" t="str">
        <v/>
      </c>
    </row>
    <row r="2525" spans="2:8" x14ac:dyDescent="0.2">
      <c r="B2525" s="87" t="str">
        <v/>
      </c>
      <c r="G2525" s="87">
        <v>0</v>
      </c>
      <c r="H2525" s="87" t="str">
        <v/>
      </c>
    </row>
    <row r="2526" spans="2:8" x14ac:dyDescent="0.2">
      <c r="B2526" s="87" t="str">
        <v/>
      </c>
      <c r="G2526" s="87">
        <v>0</v>
      </c>
      <c r="H2526" s="87" t="str">
        <v/>
      </c>
    </row>
    <row r="2527" spans="2:8" x14ac:dyDescent="0.2">
      <c r="B2527" s="87" t="str">
        <v/>
      </c>
      <c r="G2527" s="87">
        <v>0</v>
      </c>
      <c r="H2527" s="87" t="str">
        <v/>
      </c>
    </row>
    <row r="2528" spans="2:8" x14ac:dyDescent="0.2">
      <c r="B2528" s="87" t="str">
        <v/>
      </c>
      <c r="G2528" s="87">
        <v>0</v>
      </c>
      <c r="H2528" s="87" t="str">
        <v/>
      </c>
    </row>
    <row r="2529" spans="2:8" x14ac:dyDescent="0.2">
      <c r="B2529" s="87" t="str">
        <v/>
      </c>
      <c r="G2529" s="87">
        <v>0</v>
      </c>
      <c r="H2529" s="87" t="str">
        <v/>
      </c>
    </row>
    <row r="2530" spans="2:8" x14ac:dyDescent="0.2">
      <c r="B2530" s="87" t="str">
        <v/>
      </c>
      <c r="G2530" s="87">
        <v>0</v>
      </c>
      <c r="H2530" s="87" t="str">
        <v/>
      </c>
    </row>
    <row r="2531" spans="2:8" x14ac:dyDescent="0.2">
      <c r="B2531" s="87" t="str">
        <v/>
      </c>
      <c r="G2531" s="87">
        <v>0</v>
      </c>
      <c r="H2531" s="87" t="str">
        <v/>
      </c>
    </row>
    <row r="2532" spans="2:8" x14ac:dyDescent="0.2">
      <c r="B2532" s="87" t="str">
        <v/>
      </c>
      <c r="G2532" s="87">
        <v>0</v>
      </c>
      <c r="H2532" s="87" t="str">
        <v/>
      </c>
    </row>
    <row r="2533" spans="2:8" x14ac:dyDescent="0.2">
      <c r="B2533" s="87" t="str">
        <v/>
      </c>
      <c r="G2533" s="87">
        <v>0</v>
      </c>
      <c r="H2533" s="87" t="str">
        <v/>
      </c>
    </row>
    <row r="2534" spans="2:8" x14ac:dyDescent="0.2">
      <c r="B2534" s="87" t="str">
        <v/>
      </c>
      <c r="G2534" s="87">
        <v>0</v>
      </c>
      <c r="H2534" s="87" t="str">
        <v/>
      </c>
    </row>
    <row r="2535" spans="2:8" x14ac:dyDescent="0.2">
      <c r="B2535" s="87" t="str">
        <v/>
      </c>
      <c r="G2535" s="87">
        <v>0</v>
      </c>
      <c r="H2535" s="87" t="str">
        <v/>
      </c>
    </row>
    <row r="2536" spans="2:8" x14ac:dyDescent="0.2">
      <c r="B2536" s="87" t="str">
        <v/>
      </c>
      <c r="G2536" s="87">
        <v>0</v>
      </c>
      <c r="H2536" s="87" t="str">
        <v/>
      </c>
    </row>
    <row r="2537" spans="2:8" x14ac:dyDescent="0.2">
      <c r="B2537" s="87" t="str">
        <v/>
      </c>
      <c r="G2537" s="87">
        <v>0</v>
      </c>
      <c r="H2537" s="87" t="str">
        <v/>
      </c>
    </row>
    <row r="2538" spans="2:8" x14ac:dyDescent="0.2">
      <c r="B2538" s="87" t="str">
        <v/>
      </c>
      <c r="G2538" s="87">
        <v>0</v>
      </c>
      <c r="H2538" s="87" t="str">
        <v/>
      </c>
    </row>
    <row r="2539" spans="2:8" x14ac:dyDescent="0.2">
      <c r="B2539" s="87" t="str">
        <v/>
      </c>
      <c r="G2539" s="87">
        <v>0</v>
      </c>
      <c r="H2539" s="87" t="str">
        <v/>
      </c>
    </row>
    <row r="2540" spans="2:8" x14ac:dyDescent="0.2">
      <c r="B2540" s="87" t="str">
        <v/>
      </c>
      <c r="G2540" s="87">
        <v>0</v>
      </c>
      <c r="H2540" s="87" t="str">
        <v/>
      </c>
    </row>
    <row r="2541" spans="2:8" x14ac:dyDescent="0.2">
      <c r="B2541" s="87" t="str">
        <v/>
      </c>
      <c r="G2541" s="87">
        <v>0</v>
      </c>
      <c r="H2541" s="87" t="str">
        <v/>
      </c>
    </row>
    <row r="2542" spans="2:8" x14ac:dyDescent="0.2">
      <c r="B2542" s="87" t="str">
        <v/>
      </c>
      <c r="G2542" s="87">
        <v>0</v>
      </c>
      <c r="H2542" s="87" t="str">
        <v/>
      </c>
    </row>
    <row r="2543" spans="2:8" x14ac:dyDescent="0.2">
      <c r="B2543" s="87" t="str">
        <v/>
      </c>
      <c r="G2543" s="87">
        <v>0</v>
      </c>
      <c r="H2543" s="87" t="str">
        <v/>
      </c>
    </row>
    <row r="2544" spans="2:8" x14ac:dyDescent="0.2">
      <c r="B2544" s="87" t="str">
        <v/>
      </c>
      <c r="G2544" s="87">
        <v>0</v>
      </c>
      <c r="H2544" s="87" t="str">
        <v/>
      </c>
    </row>
    <row r="2545" spans="2:8" x14ac:dyDescent="0.2">
      <c r="B2545" s="87" t="str">
        <v/>
      </c>
      <c r="G2545" s="87">
        <v>0</v>
      </c>
      <c r="H2545" s="87" t="str">
        <v/>
      </c>
    </row>
    <row r="2546" spans="2:8" x14ac:dyDescent="0.2">
      <c r="B2546" s="87" t="str">
        <v/>
      </c>
      <c r="G2546" s="87">
        <v>0</v>
      </c>
      <c r="H2546" s="87" t="str">
        <v/>
      </c>
    </row>
    <row r="2547" spans="2:8" x14ac:dyDescent="0.2">
      <c r="B2547" s="87" t="str">
        <v/>
      </c>
      <c r="G2547" s="87">
        <v>0</v>
      </c>
      <c r="H2547" s="87" t="str">
        <v/>
      </c>
    </row>
    <row r="2548" spans="2:8" x14ac:dyDescent="0.2">
      <c r="B2548" s="87" t="str">
        <v/>
      </c>
      <c r="G2548" s="87">
        <v>0</v>
      </c>
      <c r="H2548" s="87" t="str">
        <v/>
      </c>
    </row>
    <row r="2549" spans="2:8" x14ac:dyDescent="0.2">
      <c r="B2549" s="87" t="str">
        <v/>
      </c>
      <c r="G2549" s="87">
        <v>0</v>
      </c>
      <c r="H2549" s="87" t="str">
        <v/>
      </c>
    </row>
    <row r="2550" spans="2:8" x14ac:dyDescent="0.2">
      <c r="B2550" s="87" t="str">
        <v/>
      </c>
      <c r="G2550" s="87">
        <v>0</v>
      </c>
      <c r="H2550" s="87" t="str">
        <v/>
      </c>
    </row>
    <row r="2551" spans="2:8" x14ac:dyDescent="0.2">
      <c r="B2551" s="87" t="str">
        <v/>
      </c>
      <c r="G2551" s="87">
        <v>0</v>
      </c>
      <c r="H2551" s="87" t="str">
        <v/>
      </c>
    </row>
    <row r="2552" spans="2:8" x14ac:dyDescent="0.2">
      <c r="B2552" s="87" t="str">
        <v/>
      </c>
      <c r="G2552" s="87">
        <v>0</v>
      </c>
      <c r="H2552" s="87" t="str">
        <v/>
      </c>
    </row>
    <row r="2553" spans="2:8" x14ac:dyDescent="0.2">
      <c r="B2553" s="87" t="str">
        <v/>
      </c>
      <c r="G2553" s="87">
        <v>0</v>
      </c>
      <c r="H2553" s="87" t="str">
        <v/>
      </c>
    </row>
    <row r="2554" spans="2:8" x14ac:dyDescent="0.2">
      <c r="B2554" s="87" t="str">
        <v/>
      </c>
      <c r="G2554" s="87">
        <v>0</v>
      </c>
      <c r="H2554" s="87" t="str">
        <v/>
      </c>
    </row>
    <row r="2555" spans="2:8" x14ac:dyDescent="0.2">
      <c r="B2555" s="87" t="str">
        <v/>
      </c>
      <c r="G2555" s="87">
        <v>0</v>
      </c>
      <c r="H2555" s="87" t="str">
        <v/>
      </c>
    </row>
    <row r="2556" spans="2:8" x14ac:dyDescent="0.2">
      <c r="B2556" s="87" t="str">
        <v/>
      </c>
      <c r="G2556" s="87">
        <v>0</v>
      </c>
      <c r="H2556" s="87" t="str">
        <v/>
      </c>
    </row>
    <row r="2557" spans="2:8" x14ac:dyDescent="0.2">
      <c r="B2557" s="87" t="str">
        <v/>
      </c>
      <c r="G2557" s="87">
        <v>0</v>
      </c>
      <c r="H2557" s="87" t="str">
        <v/>
      </c>
    </row>
    <row r="2558" spans="2:8" x14ac:dyDescent="0.2">
      <c r="B2558" s="87" t="str">
        <v/>
      </c>
      <c r="G2558" s="87">
        <v>0</v>
      </c>
      <c r="H2558" s="87" t="str">
        <v/>
      </c>
    </row>
    <row r="2559" spans="2:8" x14ac:dyDescent="0.2">
      <c r="B2559" s="87" t="str">
        <v/>
      </c>
      <c r="G2559" s="87">
        <v>0</v>
      </c>
      <c r="H2559" s="87" t="str">
        <v/>
      </c>
    </row>
    <row r="2560" spans="2:8" x14ac:dyDescent="0.2">
      <c r="B2560" s="87" t="str">
        <v/>
      </c>
      <c r="H2560" s="87" t="str">
        <v/>
      </c>
    </row>
    <row r="2561" spans="2:8" x14ac:dyDescent="0.2">
      <c r="B2561" s="87" t="str">
        <v/>
      </c>
      <c r="H2561" s="87" t="str">
        <v/>
      </c>
    </row>
    <row r="2562" spans="2:8" x14ac:dyDescent="0.2">
      <c r="B2562" s="87" t="str">
        <v/>
      </c>
      <c r="H2562" s="87" t="str">
        <v/>
      </c>
    </row>
    <row r="2563" spans="2:8" x14ac:dyDescent="0.2">
      <c r="B2563" s="87" t="str">
        <v/>
      </c>
      <c r="H2563" s="87" t="str">
        <v/>
      </c>
    </row>
    <row r="2564" spans="2:8" x14ac:dyDescent="0.2">
      <c r="B2564" s="87" t="str">
        <v/>
      </c>
      <c r="H2564" s="87" t="str">
        <v/>
      </c>
    </row>
    <row r="2565" spans="2:8" x14ac:dyDescent="0.2">
      <c r="B2565" s="87" t="str">
        <v/>
      </c>
      <c r="H2565" s="87" t="str">
        <v/>
      </c>
    </row>
    <row r="2566" spans="2:8" x14ac:dyDescent="0.2">
      <c r="B2566" s="87" t="str">
        <v/>
      </c>
      <c r="H2566" s="87" t="str">
        <v/>
      </c>
    </row>
    <row r="2567" spans="2:8" x14ac:dyDescent="0.2">
      <c r="B2567" s="87" t="str">
        <v/>
      </c>
      <c r="H2567" s="87" t="str">
        <v/>
      </c>
    </row>
    <row r="2568" spans="2:8" x14ac:dyDescent="0.2">
      <c r="B2568" s="87" t="str">
        <v/>
      </c>
      <c r="H2568" s="87" t="str">
        <v/>
      </c>
    </row>
    <row r="2569" spans="2:8" x14ac:dyDescent="0.2">
      <c r="B2569" s="87" t="str">
        <v/>
      </c>
      <c r="H2569" s="87" t="str">
        <v/>
      </c>
    </row>
    <row r="2570" spans="2:8" x14ac:dyDescent="0.2">
      <c r="B2570" s="87" t="str">
        <v/>
      </c>
      <c r="H2570" s="87" t="str">
        <v/>
      </c>
    </row>
    <row r="2571" spans="2:8" x14ac:dyDescent="0.2">
      <c r="B2571" s="87" t="str">
        <v/>
      </c>
      <c r="H2571" s="87" t="str">
        <v/>
      </c>
    </row>
    <row r="2572" spans="2:8" x14ac:dyDescent="0.2">
      <c r="B2572" s="87" t="str">
        <v/>
      </c>
      <c r="H2572" s="87" t="str">
        <v/>
      </c>
    </row>
    <row r="2573" spans="2:8" x14ac:dyDescent="0.2">
      <c r="B2573" s="87" t="str">
        <v/>
      </c>
      <c r="H2573" s="87" t="str">
        <v/>
      </c>
    </row>
    <row r="2574" spans="2:8" x14ac:dyDescent="0.2">
      <c r="B2574" s="87" t="str">
        <v/>
      </c>
      <c r="H2574" s="87" t="str">
        <v/>
      </c>
    </row>
    <row r="2575" spans="2:8" x14ac:dyDescent="0.2">
      <c r="B2575" s="87" t="str">
        <v/>
      </c>
      <c r="H2575" s="87" t="str">
        <v/>
      </c>
    </row>
    <row r="2576" spans="2:8" x14ac:dyDescent="0.2">
      <c r="B2576" s="87" t="str">
        <v/>
      </c>
      <c r="H2576" s="87" t="str">
        <v/>
      </c>
    </row>
    <row r="2577" spans="2:8" x14ac:dyDescent="0.2">
      <c r="B2577" s="87" t="str">
        <v/>
      </c>
      <c r="H2577" s="87" t="str">
        <v/>
      </c>
    </row>
    <row r="2578" spans="2:8" x14ac:dyDescent="0.2">
      <c r="B2578" s="87" t="str">
        <v/>
      </c>
      <c r="H2578" s="87" t="str">
        <v/>
      </c>
    </row>
    <row r="2579" spans="2:8" x14ac:dyDescent="0.2">
      <c r="B2579" s="87" t="str">
        <v/>
      </c>
      <c r="H2579" s="87" t="str">
        <v/>
      </c>
    </row>
    <row r="2580" spans="2:8" x14ac:dyDescent="0.2">
      <c r="B2580" s="87" t="str">
        <v/>
      </c>
      <c r="H2580" s="87" t="str">
        <v/>
      </c>
    </row>
    <row r="2581" spans="2:8" x14ac:dyDescent="0.2">
      <c r="B2581" s="87" t="str">
        <v/>
      </c>
      <c r="H2581" s="87" t="str">
        <v/>
      </c>
    </row>
    <row r="2582" spans="2:8" x14ac:dyDescent="0.2">
      <c r="B2582" s="87" t="str">
        <v/>
      </c>
      <c r="H2582" s="87" t="str">
        <v/>
      </c>
    </row>
    <row r="2583" spans="2:8" x14ac:dyDescent="0.2">
      <c r="B2583" s="87" t="str">
        <v/>
      </c>
      <c r="H2583" s="87" t="str">
        <v/>
      </c>
    </row>
    <row r="2584" spans="2:8" x14ac:dyDescent="0.2">
      <c r="B2584" s="87" t="str">
        <v/>
      </c>
      <c r="H2584" s="87" t="str">
        <v/>
      </c>
    </row>
    <row r="2585" spans="2:8" x14ac:dyDescent="0.2">
      <c r="B2585" s="87" t="str">
        <v/>
      </c>
      <c r="H2585" s="87" t="str">
        <v/>
      </c>
    </row>
    <row r="2586" spans="2:8" x14ac:dyDescent="0.2">
      <c r="B2586" s="87" t="str">
        <v/>
      </c>
      <c r="H2586" s="87" t="str">
        <v/>
      </c>
    </row>
    <row r="2587" spans="2:8" x14ac:dyDescent="0.2">
      <c r="B2587" s="87" t="str">
        <v/>
      </c>
      <c r="H2587" s="87" t="str">
        <v/>
      </c>
    </row>
    <row r="2588" spans="2:8" x14ac:dyDescent="0.2">
      <c r="B2588" s="87" t="str">
        <v/>
      </c>
      <c r="H2588" s="87" t="str">
        <v/>
      </c>
    </row>
    <row r="2589" spans="2:8" x14ac:dyDescent="0.2">
      <c r="B2589" s="87" t="str">
        <v/>
      </c>
      <c r="H2589" s="87" t="str">
        <v/>
      </c>
    </row>
    <row r="2590" spans="2:8" x14ac:dyDescent="0.2">
      <c r="B2590" s="87" t="str">
        <v/>
      </c>
      <c r="H2590" s="87" t="str">
        <v/>
      </c>
    </row>
    <row r="2591" spans="2:8" x14ac:dyDescent="0.2">
      <c r="B2591" s="87" t="str">
        <v/>
      </c>
      <c r="H2591" s="87" t="str">
        <v/>
      </c>
    </row>
    <row r="2592" spans="2:8" x14ac:dyDescent="0.2">
      <c r="B2592" s="87" t="str">
        <v/>
      </c>
      <c r="H2592" s="87" t="str">
        <v/>
      </c>
    </row>
    <row r="2593" spans="2:8" x14ac:dyDescent="0.2">
      <c r="B2593" s="87" t="str">
        <v/>
      </c>
      <c r="H2593" s="87" t="str">
        <v/>
      </c>
    </row>
    <row r="2594" spans="2:8" x14ac:dyDescent="0.2">
      <c r="B2594" s="87" t="str">
        <v/>
      </c>
      <c r="H2594" s="87" t="str">
        <v/>
      </c>
    </row>
    <row r="2595" spans="2:8" x14ac:dyDescent="0.2">
      <c r="B2595" s="87" t="str">
        <v/>
      </c>
      <c r="H2595" s="87" t="str">
        <v/>
      </c>
    </row>
    <row r="2596" spans="2:8" x14ac:dyDescent="0.2">
      <c r="B2596" s="87" t="str">
        <v/>
      </c>
      <c r="H2596" s="87" t="str">
        <v/>
      </c>
    </row>
    <row r="2597" spans="2:8" x14ac:dyDescent="0.2">
      <c r="B2597" s="87" t="str">
        <v/>
      </c>
      <c r="H2597" s="87" t="str">
        <v/>
      </c>
    </row>
    <row r="2598" spans="2:8" x14ac:dyDescent="0.2">
      <c r="B2598" s="87" t="str">
        <v/>
      </c>
      <c r="H2598" s="87" t="str">
        <v/>
      </c>
    </row>
    <row r="2599" spans="2:8" x14ac:dyDescent="0.2">
      <c r="B2599" s="87" t="str">
        <v/>
      </c>
      <c r="H2599" s="87" t="str">
        <v/>
      </c>
    </row>
    <row r="2600" spans="2:8" x14ac:dyDescent="0.2">
      <c r="B2600" s="87" t="str">
        <v/>
      </c>
      <c r="H2600" s="87" t="str">
        <v/>
      </c>
    </row>
    <row r="2601" spans="2:8" x14ac:dyDescent="0.2">
      <c r="B2601" s="87" t="str">
        <v/>
      </c>
      <c r="H2601" s="87" t="str">
        <v/>
      </c>
    </row>
    <row r="2602" spans="2:8" x14ac:dyDescent="0.2">
      <c r="B2602" s="87" t="str">
        <v/>
      </c>
      <c r="H2602" s="87" t="str">
        <v/>
      </c>
    </row>
    <row r="2603" spans="2:8" x14ac:dyDescent="0.2">
      <c r="B2603" s="87" t="str">
        <v/>
      </c>
      <c r="H2603" s="87" t="str">
        <v/>
      </c>
    </row>
    <row r="2604" spans="2:8" x14ac:dyDescent="0.2">
      <c r="B2604" s="87" t="str">
        <v/>
      </c>
      <c r="H2604" s="87" t="str">
        <v/>
      </c>
    </row>
    <row r="2605" spans="2:8" x14ac:dyDescent="0.2">
      <c r="B2605" s="87" t="str">
        <v/>
      </c>
      <c r="H2605" s="87" t="str">
        <v/>
      </c>
    </row>
    <row r="2606" spans="2:8" x14ac:dyDescent="0.2">
      <c r="B2606" s="87" t="str">
        <v/>
      </c>
      <c r="H2606" s="87" t="str">
        <v/>
      </c>
    </row>
    <row r="2607" spans="2:8" x14ac:dyDescent="0.2">
      <c r="B2607" s="87" t="str">
        <v/>
      </c>
      <c r="H2607" s="87" t="str">
        <v/>
      </c>
    </row>
    <row r="2608" spans="2:8" x14ac:dyDescent="0.2">
      <c r="B2608" s="87" t="str">
        <v/>
      </c>
      <c r="H2608" s="87" t="str">
        <v/>
      </c>
    </row>
    <row r="2609" spans="2:8" x14ac:dyDescent="0.2">
      <c r="B2609" s="87" t="str">
        <v/>
      </c>
      <c r="H2609" s="87" t="str">
        <v/>
      </c>
    </row>
    <row r="2610" spans="2:8" x14ac:dyDescent="0.2">
      <c r="B2610" s="87" t="str">
        <v/>
      </c>
      <c r="H2610" s="87" t="str">
        <v/>
      </c>
    </row>
    <row r="2611" spans="2:8" x14ac:dyDescent="0.2">
      <c r="B2611" s="87" t="str">
        <v/>
      </c>
      <c r="H2611" s="87" t="str">
        <v/>
      </c>
    </row>
    <row r="2612" spans="2:8" x14ac:dyDescent="0.2">
      <c r="B2612" s="87" t="str">
        <v/>
      </c>
      <c r="H2612" s="87" t="str">
        <v/>
      </c>
    </row>
    <row r="2613" spans="2:8" x14ac:dyDescent="0.2">
      <c r="B2613" s="87" t="str">
        <v/>
      </c>
      <c r="H2613" s="87" t="str">
        <v/>
      </c>
    </row>
    <row r="2614" spans="2:8" x14ac:dyDescent="0.2">
      <c r="B2614" s="87" t="str">
        <v/>
      </c>
      <c r="H2614" s="87" t="str">
        <v/>
      </c>
    </row>
    <row r="2615" spans="2:8" x14ac:dyDescent="0.2">
      <c r="B2615" s="87" t="str">
        <v/>
      </c>
      <c r="H2615" s="87" t="str">
        <v/>
      </c>
    </row>
    <row r="2616" spans="2:8" x14ac:dyDescent="0.2">
      <c r="B2616" s="87" t="str">
        <v/>
      </c>
      <c r="H2616" s="87" t="str">
        <v/>
      </c>
    </row>
    <row r="2617" spans="2:8" x14ac:dyDescent="0.2">
      <c r="B2617" s="87" t="str">
        <v/>
      </c>
      <c r="H2617" s="87" t="str">
        <v/>
      </c>
    </row>
    <row r="2618" spans="2:8" x14ac:dyDescent="0.2">
      <c r="B2618" s="87" t="str">
        <v/>
      </c>
      <c r="H2618" s="87" t="str">
        <v/>
      </c>
    </row>
    <row r="2619" spans="2:8" x14ac:dyDescent="0.2">
      <c r="B2619" s="87" t="str">
        <v/>
      </c>
      <c r="H2619" s="87" t="str">
        <v/>
      </c>
    </row>
    <row r="2620" spans="2:8" x14ac:dyDescent="0.2">
      <c r="B2620" s="87" t="str">
        <v/>
      </c>
      <c r="H2620" s="87" t="str">
        <v/>
      </c>
    </row>
    <row r="2621" spans="2:8" x14ac:dyDescent="0.2">
      <c r="B2621" s="87" t="str">
        <v/>
      </c>
      <c r="H2621" s="87" t="str">
        <v/>
      </c>
    </row>
    <row r="2622" spans="2:8" x14ac:dyDescent="0.2">
      <c r="B2622" s="87" t="str">
        <v/>
      </c>
      <c r="H2622" s="87" t="str">
        <v/>
      </c>
    </row>
    <row r="2623" spans="2:8" x14ac:dyDescent="0.2">
      <c r="B2623" s="87" t="str">
        <v/>
      </c>
      <c r="H2623" s="87" t="str">
        <v/>
      </c>
    </row>
    <row r="2624" spans="2:8" x14ac:dyDescent="0.2">
      <c r="B2624" s="87" t="str">
        <v/>
      </c>
      <c r="H2624" s="87" t="str">
        <v/>
      </c>
    </row>
    <row r="2625" spans="2:8" x14ac:dyDescent="0.2">
      <c r="B2625" s="87" t="str">
        <v/>
      </c>
      <c r="H2625" s="87" t="str">
        <v/>
      </c>
    </row>
    <row r="2626" spans="2:8" x14ac:dyDescent="0.2">
      <c r="B2626" s="87" t="str">
        <v/>
      </c>
      <c r="H2626" s="87" t="str">
        <v/>
      </c>
    </row>
    <row r="2627" spans="2:8" x14ac:dyDescent="0.2">
      <c r="B2627" s="87" t="str">
        <v/>
      </c>
      <c r="H2627" s="87" t="str">
        <v/>
      </c>
    </row>
    <row r="2628" spans="2:8" x14ac:dyDescent="0.2">
      <c r="B2628" s="87" t="str">
        <v/>
      </c>
      <c r="H2628" s="87" t="str">
        <v/>
      </c>
    </row>
    <row r="2629" spans="2:8" x14ac:dyDescent="0.2">
      <c r="B2629" s="87" t="str">
        <v/>
      </c>
      <c r="H2629" s="87" t="str">
        <v/>
      </c>
    </row>
    <row r="2630" spans="2:8" x14ac:dyDescent="0.2">
      <c r="B2630" s="87" t="str">
        <v/>
      </c>
      <c r="H2630" s="87" t="str">
        <v/>
      </c>
    </row>
    <row r="2631" spans="2:8" x14ac:dyDescent="0.2">
      <c r="B2631" s="87" t="str">
        <v/>
      </c>
      <c r="H2631" s="87" t="str">
        <v/>
      </c>
    </row>
    <row r="2632" spans="2:8" x14ac:dyDescent="0.2">
      <c r="B2632" s="87" t="str">
        <v/>
      </c>
      <c r="H2632" s="87" t="str">
        <v/>
      </c>
    </row>
    <row r="2633" spans="2:8" x14ac:dyDescent="0.2">
      <c r="B2633" s="87" t="str">
        <v/>
      </c>
      <c r="H2633" s="87" t="str">
        <v/>
      </c>
    </row>
    <row r="2634" spans="2:8" x14ac:dyDescent="0.2">
      <c r="B2634" s="87" t="str">
        <v/>
      </c>
      <c r="H2634" s="87" t="str">
        <v/>
      </c>
    </row>
    <row r="2635" spans="2:8" x14ac:dyDescent="0.2">
      <c r="B2635" s="87" t="str">
        <v/>
      </c>
      <c r="H2635" s="87" t="str">
        <v/>
      </c>
    </row>
    <row r="2636" spans="2:8" x14ac:dyDescent="0.2">
      <c r="B2636" s="87" t="str">
        <v/>
      </c>
      <c r="H2636" s="87" t="str">
        <v/>
      </c>
    </row>
    <row r="2637" spans="2:8" x14ac:dyDescent="0.2">
      <c r="B2637" s="87" t="str">
        <v/>
      </c>
      <c r="H2637" s="87" t="str">
        <v/>
      </c>
    </row>
    <row r="2638" spans="2:8" x14ac:dyDescent="0.2">
      <c r="B2638" s="87" t="str">
        <v/>
      </c>
      <c r="H2638" s="87" t="str">
        <v/>
      </c>
    </row>
    <row r="2639" spans="2:8" x14ac:dyDescent="0.2">
      <c r="B2639" s="87" t="str">
        <v/>
      </c>
      <c r="H2639" s="87" t="str">
        <v/>
      </c>
    </row>
    <row r="2640" spans="2:8" x14ac:dyDescent="0.2">
      <c r="B2640" s="87" t="str">
        <v/>
      </c>
      <c r="H2640" s="87" t="str">
        <v/>
      </c>
    </row>
    <row r="2641" spans="2:8" x14ac:dyDescent="0.2">
      <c r="B2641" s="87" t="str">
        <v/>
      </c>
      <c r="H2641" s="87" t="str">
        <v/>
      </c>
    </row>
    <row r="2642" spans="2:8" x14ac:dyDescent="0.2">
      <c r="B2642" s="87" t="str">
        <v/>
      </c>
      <c r="H2642" s="87" t="str">
        <v/>
      </c>
    </row>
    <row r="2643" spans="2:8" x14ac:dyDescent="0.2">
      <c r="B2643" s="87" t="str">
        <v/>
      </c>
      <c r="H2643" s="87" t="str">
        <v/>
      </c>
    </row>
    <row r="2644" spans="2:8" x14ac:dyDescent="0.2">
      <c r="B2644" s="87" t="str">
        <v/>
      </c>
      <c r="H2644" s="87" t="str">
        <v/>
      </c>
    </row>
    <row r="2645" spans="2:8" x14ac:dyDescent="0.2">
      <c r="B2645" s="87" t="str">
        <v/>
      </c>
      <c r="H2645" s="87" t="str">
        <v/>
      </c>
    </row>
    <row r="2646" spans="2:8" x14ac:dyDescent="0.2">
      <c r="B2646" s="87" t="str">
        <v/>
      </c>
      <c r="H2646" s="87" t="str">
        <v/>
      </c>
    </row>
    <row r="2647" spans="2:8" x14ac:dyDescent="0.2">
      <c r="B2647" s="87" t="str">
        <v/>
      </c>
      <c r="H2647" s="87" t="str">
        <v/>
      </c>
    </row>
    <row r="2648" spans="2:8" x14ac:dyDescent="0.2">
      <c r="B2648" s="87" t="str">
        <v/>
      </c>
      <c r="H2648" s="87" t="str">
        <v/>
      </c>
    </row>
    <row r="2649" spans="2:8" x14ac:dyDescent="0.2">
      <c r="B2649" s="87" t="str">
        <v/>
      </c>
      <c r="H2649" s="87" t="str">
        <v/>
      </c>
    </row>
    <row r="2650" spans="2:8" x14ac:dyDescent="0.2">
      <c r="B2650" s="87" t="str">
        <v/>
      </c>
      <c r="H2650" s="87" t="str">
        <v/>
      </c>
    </row>
    <row r="2651" spans="2:8" x14ac:dyDescent="0.2">
      <c r="B2651" s="87" t="str">
        <v/>
      </c>
      <c r="H2651" s="87" t="str">
        <v/>
      </c>
    </row>
    <row r="2652" spans="2:8" x14ac:dyDescent="0.2">
      <c r="B2652" s="87" t="str">
        <v/>
      </c>
      <c r="H2652" s="87" t="str">
        <v/>
      </c>
    </row>
    <row r="2653" spans="2:8" x14ac:dyDescent="0.2">
      <c r="B2653" s="87" t="str">
        <v/>
      </c>
      <c r="H2653" s="87" t="str">
        <v/>
      </c>
    </row>
    <row r="2654" spans="2:8" x14ac:dyDescent="0.2">
      <c r="B2654" s="87" t="str">
        <v/>
      </c>
      <c r="H2654" s="87" t="str">
        <v/>
      </c>
    </row>
    <row r="2655" spans="2:8" x14ac:dyDescent="0.2">
      <c r="B2655" s="87" t="str">
        <v/>
      </c>
      <c r="H2655" s="87" t="str">
        <v/>
      </c>
    </row>
    <row r="2656" spans="2:8" x14ac:dyDescent="0.2">
      <c r="B2656" s="87" t="str">
        <v/>
      </c>
      <c r="H2656" s="87" t="str">
        <v/>
      </c>
    </row>
    <row r="2657" spans="2:8" x14ac:dyDescent="0.2">
      <c r="B2657" s="87" t="str">
        <v/>
      </c>
      <c r="H2657" s="87" t="str">
        <v/>
      </c>
    </row>
    <row r="2658" spans="2:8" x14ac:dyDescent="0.2">
      <c r="B2658" s="87" t="str">
        <v/>
      </c>
      <c r="H2658" s="87" t="str">
        <v/>
      </c>
    </row>
    <row r="2659" spans="2:8" x14ac:dyDescent="0.2">
      <c r="B2659" s="87" t="str">
        <v/>
      </c>
      <c r="H2659" s="87" t="str">
        <v/>
      </c>
    </row>
    <row r="2660" spans="2:8" x14ac:dyDescent="0.2">
      <c r="B2660" s="87" t="str">
        <v/>
      </c>
      <c r="H2660" s="87" t="str">
        <v/>
      </c>
    </row>
    <row r="2661" spans="2:8" x14ac:dyDescent="0.2">
      <c r="B2661" s="87" t="str">
        <v/>
      </c>
      <c r="H2661" s="87" t="str">
        <v/>
      </c>
    </row>
    <row r="2662" spans="2:8" x14ac:dyDescent="0.2">
      <c r="B2662" s="87" t="str">
        <v/>
      </c>
      <c r="H2662" s="87" t="str">
        <v/>
      </c>
    </row>
    <row r="2663" spans="2:8" x14ac:dyDescent="0.2">
      <c r="B2663" s="87" t="str">
        <v/>
      </c>
      <c r="H2663" s="87" t="str">
        <v/>
      </c>
    </row>
    <row r="2664" spans="2:8" x14ac:dyDescent="0.2">
      <c r="B2664" s="87" t="str">
        <v/>
      </c>
      <c r="H2664" s="87" t="str">
        <v/>
      </c>
    </row>
    <row r="2665" spans="2:8" x14ac:dyDescent="0.2">
      <c r="B2665" s="87" t="str">
        <v/>
      </c>
      <c r="H2665" s="87" t="str">
        <v/>
      </c>
    </row>
    <row r="2666" spans="2:8" x14ac:dyDescent="0.2">
      <c r="B2666" s="87" t="str">
        <v/>
      </c>
      <c r="H2666" s="87" t="str">
        <v/>
      </c>
    </row>
    <row r="2667" spans="2:8" x14ac:dyDescent="0.2">
      <c r="B2667" s="87" t="str">
        <v/>
      </c>
      <c r="H2667" s="87" t="str">
        <v/>
      </c>
    </row>
    <row r="2668" spans="2:8" x14ac:dyDescent="0.2">
      <c r="B2668" s="87" t="str">
        <v/>
      </c>
      <c r="H2668" s="87" t="str">
        <v/>
      </c>
    </row>
    <row r="2669" spans="2:8" x14ac:dyDescent="0.2">
      <c r="B2669" s="87" t="str">
        <v/>
      </c>
      <c r="H2669" s="87" t="str">
        <v/>
      </c>
    </row>
    <row r="2670" spans="2:8" x14ac:dyDescent="0.2">
      <c r="B2670" s="87" t="str">
        <v/>
      </c>
      <c r="H2670" s="87" t="str">
        <v/>
      </c>
    </row>
    <row r="2671" spans="2:8" x14ac:dyDescent="0.2">
      <c r="B2671" s="87" t="str">
        <v/>
      </c>
      <c r="H2671" s="87" t="str">
        <v/>
      </c>
    </row>
    <row r="2672" spans="2:8" x14ac:dyDescent="0.2">
      <c r="B2672" s="87" t="str">
        <v/>
      </c>
      <c r="H2672" s="87" t="str">
        <v/>
      </c>
    </row>
    <row r="2673" spans="2:8" x14ac:dyDescent="0.2">
      <c r="B2673" s="87" t="str">
        <v/>
      </c>
      <c r="H2673" s="87" t="str">
        <v/>
      </c>
    </row>
    <row r="2674" spans="2:8" x14ac:dyDescent="0.2">
      <c r="B2674" s="87" t="str">
        <v/>
      </c>
      <c r="H2674" s="87" t="str">
        <v/>
      </c>
    </row>
    <row r="2675" spans="2:8" x14ac:dyDescent="0.2">
      <c r="B2675" s="87" t="str">
        <v/>
      </c>
      <c r="H2675" s="87" t="str">
        <v/>
      </c>
    </row>
    <row r="2676" spans="2:8" x14ac:dyDescent="0.2">
      <c r="B2676" s="87" t="str">
        <v/>
      </c>
      <c r="H2676" s="87" t="str">
        <v/>
      </c>
    </row>
    <row r="2677" spans="2:8" x14ac:dyDescent="0.2">
      <c r="B2677" s="87" t="str">
        <v/>
      </c>
      <c r="H2677" s="87" t="str">
        <v/>
      </c>
    </row>
    <row r="2678" spans="2:8" x14ac:dyDescent="0.2">
      <c r="B2678" s="87" t="str">
        <v/>
      </c>
      <c r="H2678" s="87" t="str">
        <v/>
      </c>
    </row>
    <row r="2679" spans="2:8" x14ac:dyDescent="0.2">
      <c r="B2679" s="87" t="str">
        <v/>
      </c>
      <c r="H2679" s="87" t="str">
        <v/>
      </c>
    </row>
    <row r="2680" spans="2:8" x14ac:dyDescent="0.2">
      <c r="B2680" s="87" t="str">
        <v/>
      </c>
      <c r="H2680" s="87" t="str">
        <v/>
      </c>
    </row>
    <row r="2681" spans="2:8" x14ac:dyDescent="0.2">
      <c r="B2681" s="87" t="str">
        <v/>
      </c>
      <c r="H2681" s="87" t="str">
        <v/>
      </c>
    </row>
    <row r="2682" spans="2:8" x14ac:dyDescent="0.2">
      <c r="B2682" s="87" t="str">
        <v/>
      </c>
      <c r="H2682" s="87" t="str">
        <v/>
      </c>
    </row>
    <row r="2683" spans="2:8" x14ac:dyDescent="0.2">
      <c r="B2683" s="87" t="str">
        <v/>
      </c>
      <c r="H2683" s="87" t="str">
        <v/>
      </c>
    </row>
    <row r="2684" spans="2:8" x14ac:dyDescent="0.2">
      <c r="B2684" s="87" t="str">
        <v/>
      </c>
      <c r="H2684" s="87" t="str">
        <v/>
      </c>
    </row>
    <row r="2685" spans="2:8" x14ac:dyDescent="0.2">
      <c r="B2685" s="87" t="str">
        <v/>
      </c>
      <c r="H2685" s="87" t="str">
        <v/>
      </c>
    </row>
    <row r="2686" spans="2:8" x14ac:dyDescent="0.2">
      <c r="B2686" s="87" t="str">
        <v/>
      </c>
      <c r="H2686" s="87" t="str">
        <v/>
      </c>
    </row>
    <row r="2687" spans="2:8" x14ac:dyDescent="0.2">
      <c r="B2687" s="87" t="str">
        <v/>
      </c>
      <c r="H2687" s="87" t="str">
        <v/>
      </c>
    </row>
    <row r="2688" spans="2:8" x14ac:dyDescent="0.2">
      <c r="B2688" s="87" t="str">
        <v/>
      </c>
      <c r="H2688" s="87" t="str">
        <v/>
      </c>
    </row>
    <row r="2689" spans="2:8" x14ac:dyDescent="0.2">
      <c r="B2689" s="87" t="str">
        <v/>
      </c>
      <c r="H2689" s="87" t="str">
        <v/>
      </c>
    </row>
    <row r="2690" spans="2:8" x14ac:dyDescent="0.2">
      <c r="B2690" s="87" t="str">
        <v/>
      </c>
      <c r="H2690" s="87" t="str">
        <v/>
      </c>
    </row>
    <row r="2691" spans="2:8" x14ac:dyDescent="0.2">
      <c r="B2691" s="87" t="str">
        <v/>
      </c>
      <c r="H2691" s="87" t="str">
        <v/>
      </c>
    </row>
    <row r="2692" spans="2:8" x14ac:dyDescent="0.2">
      <c r="B2692" s="87" t="str">
        <v/>
      </c>
      <c r="H2692" s="87" t="str">
        <v/>
      </c>
    </row>
    <row r="2693" spans="2:8" x14ac:dyDescent="0.2">
      <c r="B2693" s="87" t="str">
        <v/>
      </c>
      <c r="H2693" s="87" t="str">
        <v/>
      </c>
    </row>
    <row r="2694" spans="2:8" x14ac:dyDescent="0.2">
      <c r="B2694" s="87" t="str">
        <v/>
      </c>
      <c r="H2694" s="87" t="str">
        <v/>
      </c>
    </row>
    <row r="2695" spans="2:8" x14ac:dyDescent="0.2">
      <c r="B2695" s="87" t="str">
        <v/>
      </c>
      <c r="H2695" s="87" t="str">
        <v/>
      </c>
    </row>
    <row r="2696" spans="2:8" x14ac:dyDescent="0.2">
      <c r="B2696" s="87" t="str">
        <v/>
      </c>
      <c r="H2696" s="87" t="str">
        <v/>
      </c>
    </row>
    <row r="2697" spans="2:8" x14ac:dyDescent="0.2">
      <c r="B2697" s="87" t="str">
        <v/>
      </c>
      <c r="H2697" s="87" t="str">
        <v/>
      </c>
    </row>
    <row r="2698" spans="2:8" x14ac:dyDescent="0.2">
      <c r="B2698" s="87" t="str">
        <v/>
      </c>
      <c r="H2698" s="87" t="str">
        <v/>
      </c>
    </row>
    <row r="2699" spans="2:8" x14ac:dyDescent="0.2">
      <c r="B2699" s="87" t="str">
        <v/>
      </c>
      <c r="H2699" s="87" t="str">
        <v/>
      </c>
    </row>
    <row r="2700" spans="2:8" x14ac:dyDescent="0.2">
      <c r="B2700" s="87" t="str">
        <v/>
      </c>
      <c r="H2700" s="87" t="str">
        <v/>
      </c>
    </row>
    <row r="2701" spans="2:8" x14ac:dyDescent="0.2">
      <c r="B2701" s="87" t="str">
        <v/>
      </c>
      <c r="H2701" s="87" t="str">
        <v/>
      </c>
    </row>
    <row r="2702" spans="2:8" x14ac:dyDescent="0.2">
      <c r="B2702" s="87" t="str">
        <v/>
      </c>
      <c r="H2702" s="87" t="str">
        <v/>
      </c>
    </row>
    <row r="2703" spans="2:8" x14ac:dyDescent="0.2">
      <c r="B2703" s="87" t="str">
        <v/>
      </c>
      <c r="H2703" s="87" t="str">
        <v/>
      </c>
    </row>
    <row r="2704" spans="2:8" x14ac:dyDescent="0.2">
      <c r="B2704" s="87" t="str">
        <v/>
      </c>
      <c r="H2704" s="87" t="str">
        <v/>
      </c>
    </row>
    <row r="2705" spans="2:8" x14ac:dyDescent="0.2">
      <c r="B2705" s="87" t="str">
        <v/>
      </c>
      <c r="H2705" s="87" t="str">
        <v/>
      </c>
    </row>
    <row r="2706" spans="2:8" x14ac:dyDescent="0.2">
      <c r="B2706" s="87" t="str">
        <v/>
      </c>
      <c r="H2706" s="87" t="str">
        <v/>
      </c>
    </row>
    <row r="2707" spans="2:8" x14ac:dyDescent="0.2">
      <c r="B2707" s="87" t="str">
        <v/>
      </c>
      <c r="H2707" s="87" t="str">
        <v/>
      </c>
    </row>
    <row r="2708" spans="2:8" x14ac:dyDescent="0.2">
      <c r="B2708" s="87" t="str">
        <v/>
      </c>
      <c r="H2708" s="87" t="str">
        <v/>
      </c>
    </row>
    <row r="2709" spans="2:8" x14ac:dyDescent="0.2">
      <c r="B2709" s="87" t="str">
        <v/>
      </c>
      <c r="H2709" s="87" t="str">
        <v/>
      </c>
    </row>
    <row r="2710" spans="2:8" x14ac:dyDescent="0.2">
      <c r="B2710" s="87" t="str">
        <v/>
      </c>
      <c r="H2710" s="87" t="str">
        <v/>
      </c>
    </row>
    <row r="2711" spans="2:8" x14ac:dyDescent="0.2">
      <c r="B2711" s="87" t="str">
        <v/>
      </c>
      <c r="H2711" s="87" t="str">
        <v/>
      </c>
    </row>
    <row r="2712" spans="2:8" x14ac:dyDescent="0.2">
      <c r="B2712" s="87" t="str">
        <v/>
      </c>
      <c r="H2712" s="87" t="str">
        <v/>
      </c>
    </row>
    <row r="2713" spans="2:8" x14ac:dyDescent="0.2">
      <c r="B2713" s="87" t="str">
        <v/>
      </c>
      <c r="H2713" s="87" t="str">
        <v/>
      </c>
    </row>
    <row r="2714" spans="2:8" x14ac:dyDescent="0.2">
      <c r="B2714" s="87" t="str">
        <v/>
      </c>
      <c r="H2714" s="87" t="str">
        <v/>
      </c>
    </row>
    <row r="2715" spans="2:8" x14ac:dyDescent="0.2">
      <c r="B2715" s="87" t="str">
        <v/>
      </c>
      <c r="H2715" s="87" t="str">
        <v/>
      </c>
    </row>
    <row r="2716" spans="2:8" x14ac:dyDescent="0.2">
      <c r="B2716" s="87" t="str">
        <v/>
      </c>
      <c r="H2716" s="87" t="str">
        <v/>
      </c>
    </row>
    <row r="2717" spans="2:8" x14ac:dyDescent="0.2">
      <c r="B2717" s="87" t="str">
        <v/>
      </c>
      <c r="H2717" s="87" t="str">
        <v/>
      </c>
    </row>
    <row r="2718" spans="2:8" x14ac:dyDescent="0.2">
      <c r="B2718" s="87" t="str">
        <v/>
      </c>
      <c r="H2718" s="87" t="str">
        <v/>
      </c>
    </row>
    <row r="2719" spans="2:8" x14ac:dyDescent="0.2">
      <c r="B2719" s="87" t="str">
        <v/>
      </c>
      <c r="H2719" s="87" t="str">
        <v/>
      </c>
    </row>
    <row r="2720" spans="2:8" x14ac:dyDescent="0.2">
      <c r="B2720" s="87" t="str">
        <v/>
      </c>
      <c r="H2720" s="87" t="str">
        <v/>
      </c>
    </row>
    <row r="2721" spans="2:8" x14ac:dyDescent="0.2">
      <c r="B2721" s="87" t="str">
        <v/>
      </c>
      <c r="H2721" s="87" t="str">
        <v/>
      </c>
    </row>
    <row r="2722" spans="2:8" x14ac:dyDescent="0.2">
      <c r="B2722" s="87" t="str">
        <v/>
      </c>
      <c r="H2722" s="87" t="str">
        <v/>
      </c>
    </row>
    <row r="2723" spans="2:8" x14ac:dyDescent="0.2">
      <c r="B2723" s="87" t="str">
        <v/>
      </c>
      <c r="H2723" s="87" t="str">
        <v/>
      </c>
    </row>
    <row r="2724" spans="2:8" x14ac:dyDescent="0.2">
      <c r="B2724" s="87" t="str">
        <v/>
      </c>
      <c r="H2724" s="87" t="str">
        <v/>
      </c>
    </row>
    <row r="2725" spans="2:8" x14ac:dyDescent="0.2">
      <c r="B2725" s="87" t="str">
        <v/>
      </c>
      <c r="H2725" s="87" t="str">
        <v/>
      </c>
    </row>
    <row r="2726" spans="2:8" x14ac:dyDescent="0.2">
      <c r="B2726" s="87" t="str">
        <v/>
      </c>
      <c r="H2726" s="87" t="str">
        <v/>
      </c>
    </row>
    <row r="2727" spans="2:8" x14ac:dyDescent="0.2">
      <c r="B2727" s="87" t="str">
        <v/>
      </c>
      <c r="H2727" s="87" t="str">
        <v/>
      </c>
    </row>
    <row r="2728" spans="2:8" x14ac:dyDescent="0.2">
      <c r="B2728" s="87" t="str">
        <v/>
      </c>
      <c r="H2728" s="87" t="str">
        <v/>
      </c>
    </row>
    <row r="2729" spans="2:8" x14ac:dyDescent="0.2">
      <c r="B2729" s="87" t="str">
        <v/>
      </c>
      <c r="H2729" s="87" t="str">
        <v/>
      </c>
    </row>
    <row r="2730" spans="2:8" x14ac:dyDescent="0.2">
      <c r="B2730" s="87" t="str">
        <v/>
      </c>
      <c r="H2730" s="87" t="str">
        <v/>
      </c>
    </row>
    <row r="2731" spans="2:8" x14ac:dyDescent="0.2">
      <c r="B2731" s="87" t="str">
        <v/>
      </c>
      <c r="H2731" s="87" t="str">
        <v/>
      </c>
    </row>
    <row r="2732" spans="2:8" x14ac:dyDescent="0.2">
      <c r="B2732" s="87" t="str">
        <v/>
      </c>
      <c r="H2732" s="87" t="str">
        <v/>
      </c>
    </row>
    <row r="2733" spans="2:8" x14ac:dyDescent="0.2">
      <c r="B2733" s="87" t="str">
        <v/>
      </c>
      <c r="H2733" s="87" t="str">
        <v/>
      </c>
    </row>
    <row r="2734" spans="2:8" x14ac:dyDescent="0.2">
      <c r="B2734" s="87" t="str">
        <v/>
      </c>
      <c r="H2734" s="87" t="str">
        <v/>
      </c>
    </row>
    <row r="2735" spans="2:8" x14ac:dyDescent="0.2">
      <c r="B2735" s="87" t="str">
        <v/>
      </c>
      <c r="H2735" s="87" t="str">
        <v/>
      </c>
    </row>
    <row r="2736" spans="2:8" x14ac:dyDescent="0.2">
      <c r="B2736" s="87" t="str">
        <v/>
      </c>
      <c r="H2736" s="87" t="str">
        <v/>
      </c>
    </row>
    <row r="2737" spans="2:8" x14ac:dyDescent="0.2">
      <c r="B2737" s="87" t="str">
        <v/>
      </c>
      <c r="H2737" s="87" t="str">
        <v/>
      </c>
    </row>
    <row r="2738" spans="2:8" x14ac:dyDescent="0.2">
      <c r="B2738" s="87" t="str">
        <v/>
      </c>
      <c r="H2738" s="87" t="str">
        <v/>
      </c>
    </row>
    <row r="2739" spans="2:8" x14ac:dyDescent="0.2">
      <c r="B2739" s="87" t="str">
        <v/>
      </c>
      <c r="H2739" s="87" t="str">
        <v/>
      </c>
    </row>
    <row r="2740" spans="2:8" x14ac:dyDescent="0.2">
      <c r="B2740" s="87" t="str">
        <v/>
      </c>
      <c r="H2740" s="87" t="str">
        <v/>
      </c>
    </row>
    <row r="2741" spans="2:8" x14ac:dyDescent="0.2">
      <c r="B2741" s="87" t="str">
        <v/>
      </c>
      <c r="H2741" s="87" t="str">
        <v/>
      </c>
    </row>
    <row r="2742" spans="2:8" x14ac:dyDescent="0.2">
      <c r="B2742" s="87" t="str">
        <v/>
      </c>
      <c r="H2742" s="87" t="str">
        <v/>
      </c>
    </row>
    <row r="2743" spans="2:8" x14ac:dyDescent="0.2">
      <c r="B2743" s="87" t="str">
        <v/>
      </c>
      <c r="H2743" s="87" t="str">
        <v/>
      </c>
    </row>
    <row r="2744" spans="2:8" x14ac:dyDescent="0.2">
      <c r="B2744" s="87" t="str">
        <v/>
      </c>
      <c r="H2744" s="87" t="str">
        <v/>
      </c>
    </row>
    <row r="2745" spans="2:8" x14ac:dyDescent="0.2">
      <c r="B2745" s="87" t="str">
        <v/>
      </c>
      <c r="H2745" s="87" t="str">
        <v/>
      </c>
    </row>
    <row r="2746" spans="2:8" x14ac:dyDescent="0.2">
      <c r="B2746" s="87" t="str">
        <v/>
      </c>
      <c r="H2746" s="87" t="str">
        <v/>
      </c>
    </row>
    <row r="2747" spans="2:8" x14ac:dyDescent="0.2">
      <c r="B2747" s="87" t="str">
        <v/>
      </c>
      <c r="H2747" s="87" t="str">
        <v/>
      </c>
    </row>
    <row r="2748" spans="2:8" x14ac:dyDescent="0.2">
      <c r="B2748" s="87" t="str">
        <v/>
      </c>
      <c r="H2748" s="87" t="str">
        <v/>
      </c>
    </row>
    <row r="2749" spans="2:8" x14ac:dyDescent="0.2">
      <c r="B2749" s="87" t="str">
        <v/>
      </c>
      <c r="H2749" s="87" t="str">
        <v/>
      </c>
    </row>
    <row r="2750" spans="2:8" x14ac:dyDescent="0.2">
      <c r="B2750" s="87" t="str">
        <v/>
      </c>
      <c r="H2750" s="87" t="str">
        <v/>
      </c>
    </row>
    <row r="2751" spans="2:8" x14ac:dyDescent="0.2">
      <c r="B2751" s="87" t="str">
        <v/>
      </c>
      <c r="H2751" s="87" t="str">
        <v/>
      </c>
    </row>
    <row r="2752" spans="2:8" x14ac:dyDescent="0.2">
      <c r="B2752" s="87" t="str">
        <v/>
      </c>
      <c r="H2752" s="87" t="str">
        <v/>
      </c>
    </row>
    <row r="2753" spans="2:8" x14ac:dyDescent="0.2">
      <c r="B2753" s="87" t="str">
        <v/>
      </c>
      <c r="H2753" s="87" t="str">
        <v/>
      </c>
    </row>
    <row r="2754" spans="2:8" x14ac:dyDescent="0.2">
      <c r="B2754" s="87" t="str">
        <v/>
      </c>
      <c r="H2754" s="87" t="str">
        <v/>
      </c>
    </row>
    <row r="2755" spans="2:8" x14ac:dyDescent="0.2">
      <c r="B2755" s="87" t="str">
        <v/>
      </c>
      <c r="H2755" s="87" t="str">
        <v/>
      </c>
    </row>
    <row r="2756" spans="2:8" x14ac:dyDescent="0.2">
      <c r="B2756" s="87" t="str">
        <v/>
      </c>
      <c r="H2756" s="87" t="str">
        <v/>
      </c>
    </row>
    <row r="2757" spans="2:8" x14ac:dyDescent="0.2">
      <c r="B2757" s="87" t="str">
        <v/>
      </c>
      <c r="H2757" s="87" t="str">
        <v/>
      </c>
    </row>
    <row r="2758" spans="2:8" x14ac:dyDescent="0.2">
      <c r="B2758" s="87" t="str">
        <v/>
      </c>
      <c r="H2758" s="87" t="str">
        <v/>
      </c>
    </row>
    <row r="2759" spans="2:8" x14ac:dyDescent="0.2">
      <c r="B2759" s="87" t="str">
        <v/>
      </c>
      <c r="H2759" s="87" t="str">
        <v/>
      </c>
    </row>
    <row r="2760" spans="2:8" x14ac:dyDescent="0.2">
      <c r="B2760" s="87" t="str">
        <v/>
      </c>
      <c r="H2760" s="87" t="str">
        <v/>
      </c>
    </row>
    <row r="2761" spans="2:8" x14ac:dyDescent="0.2">
      <c r="B2761" s="87" t="str">
        <v/>
      </c>
      <c r="H2761" s="87" t="str">
        <v/>
      </c>
    </row>
    <row r="2762" spans="2:8" x14ac:dyDescent="0.2">
      <c r="B2762" s="87" t="str">
        <v/>
      </c>
      <c r="H2762" s="87" t="str">
        <v/>
      </c>
    </row>
    <row r="2763" spans="2:8" x14ac:dyDescent="0.2">
      <c r="B2763" s="87" t="str">
        <v/>
      </c>
      <c r="H2763" s="87" t="str">
        <v/>
      </c>
    </row>
    <row r="2764" spans="2:8" x14ac:dyDescent="0.2">
      <c r="B2764" s="87" t="str">
        <v/>
      </c>
      <c r="H2764" s="87" t="str">
        <v/>
      </c>
    </row>
    <row r="2765" spans="2:8" x14ac:dyDescent="0.2">
      <c r="B2765" s="87" t="str">
        <v/>
      </c>
      <c r="H2765" s="87" t="str">
        <v/>
      </c>
    </row>
    <row r="2766" spans="2:8" x14ac:dyDescent="0.2">
      <c r="B2766" s="87" t="str">
        <v/>
      </c>
      <c r="H2766" s="87" t="str">
        <v/>
      </c>
    </row>
    <row r="2767" spans="2:8" x14ac:dyDescent="0.2">
      <c r="B2767" s="87" t="str">
        <v/>
      </c>
      <c r="H2767" s="87" t="str">
        <v/>
      </c>
    </row>
    <row r="2768" spans="2:8" x14ac:dyDescent="0.2">
      <c r="B2768" s="87" t="str">
        <v/>
      </c>
      <c r="H2768" s="87" t="str">
        <v/>
      </c>
    </row>
    <row r="2769" spans="2:8" x14ac:dyDescent="0.2">
      <c r="B2769" s="87" t="str">
        <v/>
      </c>
      <c r="H2769" s="87" t="str">
        <v/>
      </c>
    </row>
    <row r="2770" spans="2:8" x14ac:dyDescent="0.2">
      <c r="B2770" s="87" t="str">
        <v/>
      </c>
      <c r="H2770" s="87" t="str">
        <v/>
      </c>
    </row>
    <row r="2771" spans="2:8" x14ac:dyDescent="0.2">
      <c r="B2771" s="87" t="str">
        <v/>
      </c>
      <c r="H2771" s="87" t="str">
        <v/>
      </c>
    </row>
    <row r="2772" spans="2:8" x14ac:dyDescent="0.2">
      <c r="B2772" s="87" t="str">
        <v/>
      </c>
      <c r="H2772" s="87" t="str">
        <v/>
      </c>
    </row>
    <row r="2773" spans="2:8" x14ac:dyDescent="0.2">
      <c r="B2773" s="87" t="str">
        <v/>
      </c>
      <c r="H2773" s="87" t="str">
        <v/>
      </c>
    </row>
    <row r="2774" spans="2:8" x14ac:dyDescent="0.2">
      <c r="B2774" s="87" t="str">
        <v/>
      </c>
      <c r="H2774" s="87" t="str">
        <v/>
      </c>
    </row>
    <row r="2775" spans="2:8" x14ac:dyDescent="0.2">
      <c r="B2775" s="87" t="str">
        <v/>
      </c>
      <c r="H2775" s="87" t="str">
        <v/>
      </c>
    </row>
    <row r="2776" spans="2:8" x14ac:dyDescent="0.2">
      <c r="B2776" s="87" t="str">
        <v/>
      </c>
      <c r="H2776" s="87" t="str">
        <v/>
      </c>
    </row>
    <row r="2777" spans="2:8" x14ac:dyDescent="0.2">
      <c r="B2777" s="87" t="str">
        <v/>
      </c>
      <c r="H2777" s="87" t="str">
        <v/>
      </c>
    </row>
    <row r="2778" spans="2:8" x14ac:dyDescent="0.2">
      <c r="B2778" s="87" t="str">
        <v/>
      </c>
      <c r="H2778" s="87" t="str">
        <v/>
      </c>
    </row>
    <row r="2779" spans="2:8" x14ac:dyDescent="0.2">
      <c r="B2779" s="87" t="str">
        <v/>
      </c>
      <c r="H2779" s="87" t="str">
        <v/>
      </c>
    </row>
    <row r="2780" spans="2:8" x14ac:dyDescent="0.2">
      <c r="B2780" s="87" t="str">
        <v/>
      </c>
      <c r="H2780" s="87" t="str">
        <v/>
      </c>
    </row>
    <row r="2781" spans="2:8" x14ac:dyDescent="0.2">
      <c r="B2781" s="87" t="str">
        <v/>
      </c>
      <c r="H2781" s="87" t="str">
        <v/>
      </c>
    </row>
    <row r="2782" spans="2:8" x14ac:dyDescent="0.2">
      <c r="B2782" s="87" t="str">
        <v/>
      </c>
      <c r="H2782" s="87" t="str">
        <v/>
      </c>
    </row>
    <row r="2783" spans="2:8" x14ac:dyDescent="0.2">
      <c r="B2783" s="87" t="str">
        <v/>
      </c>
      <c r="H2783" s="87" t="str">
        <v/>
      </c>
    </row>
    <row r="2784" spans="2:8" x14ac:dyDescent="0.2">
      <c r="B2784" s="87" t="str">
        <v/>
      </c>
      <c r="H2784" s="87" t="str">
        <v/>
      </c>
    </row>
    <row r="2785" spans="2:8" x14ac:dyDescent="0.2">
      <c r="B2785" s="87" t="str">
        <v/>
      </c>
      <c r="H2785" s="87" t="str">
        <v/>
      </c>
    </row>
    <row r="2786" spans="2:8" x14ac:dyDescent="0.2">
      <c r="B2786" s="87" t="str">
        <v/>
      </c>
      <c r="H2786" s="87" t="str">
        <v/>
      </c>
    </row>
    <row r="2787" spans="2:8" x14ac:dyDescent="0.2">
      <c r="B2787" s="87" t="str">
        <v/>
      </c>
      <c r="H2787" s="87" t="str">
        <v/>
      </c>
    </row>
    <row r="2788" spans="2:8" x14ac:dyDescent="0.2">
      <c r="B2788" s="87" t="str">
        <v/>
      </c>
      <c r="H2788" s="87" t="str">
        <v/>
      </c>
    </row>
    <row r="2789" spans="2:8" x14ac:dyDescent="0.2">
      <c r="B2789" s="87" t="str">
        <v/>
      </c>
      <c r="H2789" s="87" t="str">
        <v/>
      </c>
    </row>
    <row r="2790" spans="2:8" x14ac:dyDescent="0.2">
      <c r="B2790" s="87" t="str">
        <v/>
      </c>
      <c r="H2790" s="87" t="str">
        <v/>
      </c>
    </row>
    <row r="2791" spans="2:8" x14ac:dyDescent="0.2">
      <c r="B2791" s="87" t="str">
        <v/>
      </c>
      <c r="H2791" s="87" t="str">
        <v/>
      </c>
    </row>
    <row r="2792" spans="2:8" x14ac:dyDescent="0.2">
      <c r="B2792" s="87" t="str">
        <v/>
      </c>
      <c r="H2792" s="87" t="str">
        <v/>
      </c>
    </row>
    <row r="2793" spans="2:8" x14ac:dyDescent="0.2">
      <c r="B2793" s="87" t="str">
        <v/>
      </c>
      <c r="H2793" s="87" t="str">
        <v/>
      </c>
    </row>
    <row r="2794" spans="2:8" x14ac:dyDescent="0.2">
      <c r="B2794" s="87" t="str">
        <v/>
      </c>
      <c r="H2794" s="87" t="str">
        <v/>
      </c>
    </row>
    <row r="2795" spans="2:8" x14ac:dyDescent="0.2">
      <c r="B2795" s="87" t="str">
        <v/>
      </c>
      <c r="H2795" s="87" t="str">
        <v/>
      </c>
    </row>
    <row r="2796" spans="2:8" x14ac:dyDescent="0.2">
      <c r="B2796" s="87" t="str">
        <v/>
      </c>
      <c r="H2796" s="87" t="str">
        <v/>
      </c>
    </row>
    <row r="2797" spans="2:8" x14ac:dyDescent="0.2">
      <c r="B2797" s="87" t="str">
        <v/>
      </c>
      <c r="H2797" s="87" t="str">
        <v/>
      </c>
    </row>
    <row r="2798" spans="2:8" x14ac:dyDescent="0.2">
      <c r="B2798" s="87" t="str">
        <v/>
      </c>
      <c r="H2798" s="87" t="str">
        <v/>
      </c>
    </row>
    <row r="2799" spans="2:8" x14ac:dyDescent="0.2">
      <c r="B2799" s="87" t="str">
        <v/>
      </c>
      <c r="H2799" s="87" t="str">
        <v/>
      </c>
    </row>
    <row r="2800" spans="2:8" x14ac:dyDescent="0.2">
      <c r="B2800" s="87" t="str">
        <v/>
      </c>
      <c r="H2800" s="87" t="str">
        <v/>
      </c>
    </row>
    <row r="2801" spans="2:8" x14ac:dyDescent="0.2">
      <c r="B2801" s="87" t="str">
        <v/>
      </c>
      <c r="H2801" s="87" t="str">
        <v/>
      </c>
    </row>
    <row r="2802" spans="2:8" x14ac:dyDescent="0.2">
      <c r="B2802" s="87" t="str">
        <v/>
      </c>
      <c r="H2802" s="87" t="str">
        <v/>
      </c>
    </row>
    <row r="2803" spans="2:8" x14ac:dyDescent="0.2">
      <c r="B2803" s="87" t="str">
        <v/>
      </c>
      <c r="H2803" s="87" t="str">
        <v/>
      </c>
    </row>
    <row r="2804" spans="2:8" x14ac:dyDescent="0.2">
      <c r="B2804" s="87" t="str">
        <v/>
      </c>
      <c r="H2804" s="87" t="str">
        <v/>
      </c>
    </row>
    <row r="2805" spans="2:8" x14ac:dyDescent="0.2">
      <c r="B2805" s="87" t="str">
        <v/>
      </c>
      <c r="H2805" s="87" t="str">
        <v/>
      </c>
    </row>
    <row r="2806" spans="2:8" x14ac:dyDescent="0.2">
      <c r="B2806" s="87" t="str">
        <v/>
      </c>
      <c r="H2806" s="87" t="str">
        <v/>
      </c>
    </row>
    <row r="2807" spans="2:8" x14ac:dyDescent="0.2">
      <c r="B2807" s="87" t="str">
        <v/>
      </c>
      <c r="H2807" s="87" t="str">
        <v/>
      </c>
    </row>
    <row r="2808" spans="2:8" x14ac:dyDescent="0.2">
      <c r="B2808" s="87" t="str">
        <v/>
      </c>
      <c r="H2808" s="87" t="str">
        <v/>
      </c>
    </row>
    <row r="2809" spans="2:8" x14ac:dyDescent="0.2">
      <c r="B2809" s="87" t="str">
        <v/>
      </c>
      <c r="H2809" s="87" t="str">
        <v/>
      </c>
    </row>
    <row r="2810" spans="2:8" x14ac:dyDescent="0.2">
      <c r="B2810" s="87" t="str">
        <v/>
      </c>
      <c r="H2810" s="87" t="str">
        <v/>
      </c>
    </row>
    <row r="2811" spans="2:8" x14ac:dyDescent="0.2">
      <c r="B2811" s="87" t="str">
        <v/>
      </c>
      <c r="H2811" s="87" t="str">
        <v/>
      </c>
    </row>
    <row r="2812" spans="2:8" x14ac:dyDescent="0.2">
      <c r="B2812" s="87" t="str">
        <v/>
      </c>
      <c r="H2812" s="87" t="str">
        <v/>
      </c>
    </row>
    <row r="2813" spans="2:8" x14ac:dyDescent="0.2">
      <c r="B2813" s="87" t="str">
        <v/>
      </c>
      <c r="H2813" s="87" t="str">
        <v/>
      </c>
    </row>
    <row r="2814" spans="2:8" x14ac:dyDescent="0.2">
      <c r="B2814" s="87" t="str">
        <v/>
      </c>
      <c r="H2814" s="87" t="str">
        <v/>
      </c>
    </row>
    <row r="2815" spans="2:8" x14ac:dyDescent="0.2">
      <c r="B2815" s="87" t="str">
        <v/>
      </c>
      <c r="H2815" s="87" t="str">
        <v/>
      </c>
    </row>
    <row r="2816" spans="2:8" x14ac:dyDescent="0.2">
      <c r="B2816" s="87" t="str">
        <v/>
      </c>
      <c r="H2816" s="87" t="str">
        <v/>
      </c>
    </row>
    <row r="2817" spans="2:8" x14ac:dyDescent="0.2">
      <c r="B2817" s="87" t="str">
        <v/>
      </c>
      <c r="H2817" s="87" t="str">
        <v/>
      </c>
    </row>
    <row r="2818" spans="2:8" x14ac:dyDescent="0.2">
      <c r="B2818" s="87" t="str">
        <v/>
      </c>
      <c r="H2818" s="87" t="str">
        <v/>
      </c>
    </row>
    <row r="2819" spans="2:8" x14ac:dyDescent="0.2">
      <c r="B2819" s="87" t="str">
        <v/>
      </c>
      <c r="H2819" s="87" t="str">
        <v/>
      </c>
    </row>
    <row r="2820" spans="2:8" x14ac:dyDescent="0.2">
      <c r="B2820" s="87" t="str">
        <v/>
      </c>
      <c r="H2820" s="87" t="str">
        <v/>
      </c>
    </row>
    <row r="2821" spans="2:8" x14ac:dyDescent="0.2">
      <c r="B2821" s="87" t="str">
        <v/>
      </c>
      <c r="H2821" s="87" t="str">
        <v/>
      </c>
    </row>
    <row r="2822" spans="2:8" x14ac:dyDescent="0.2">
      <c r="B2822" s="87" t="str">
        <v/>
      </c>
      <c r="H2822" s="87" t="str">
        <v/>
      </c>
    </row>
    <row r="2823" spans="2:8" x14ac:dyDescent="0.2">
      <c r="B2823" s="87" t="str">
        <v/>
      </c>
      <c r="H2823" s="87" t="str">
        <v/>
      </c>
    </row>
    <row r="2824" spans="2:8" x14ac:dyDescent="0.2">
      <c r="B2824" s="87" t="str">
        <v/>
      </c>
      <c r="H2824" s="87" t="str">
        <v/>
      </c>
    </row>
    <row r="2825" spans="2:8" x14ac:dyDescent="0.2">
      <c r="B2825" s="87" t="str">
        <v/>
      </c>
      <c r="H2825" s="87" t="str">
        <v/>
      </c>
    </row>
    <row r="2826" spans="2:8" x14ac:dyDescent="0.2">
      <c r="B2826" s="87" t="str">
        <v/>
      </c>
      <c r="H2826" s="87" t="str">
        <v/>
      </c>
    </row>
    <row r="2827" spans="2:8" x14ac:dyDescent="0.2">
      <c r="B2827" s="87" t="str">
        <v/>
      </c>
      <c r="H2827" s="87" t="str">
        <v/>
      </c>
    </row>
    <row r="2828" spans="2:8" x14ac:dyDescent="0.2">
      <c r="B2828" s="87" t="str">
        <v/>
      </c>
      <c r="H2828" s="87" t="str">
        <v/>
      </c>
    </row>
    <row r="2829" spans="2:8" x14ac:dyDescent="0.2">
      <c r="B2829" s="87" t="str">
        <v/>
      </c>
      <c r="H2829" s="87" t="str">
        <v/>
      </c>
    </row>
    <row r="2830" spans="2:8" x14ac:dyDescent="0.2">
      <c r="B2830" s="87" t="str">
        <v/>
      </c>
      <c r="H2830" s="87" t="str">
        <v/>
      </c>
    </row>
    <row r="2831" spans="2:8" x14ac:dyDescent="0.2">
      <c r="B2831" s="87" t="str">
        <v/>
      </c>
      <c r="H2831" s="87" t="str">
        <v/>
      </c>
    </row>
    <row r="2832" spans="2:8" x14ac:dyDescent="0.2">
      <c r="B2832" s="87" t="str">
        <v/>
      </c>
      <c r="H2832" s="87" t="str">
        <v/>
      </c>
    </row>
    <row r="2833" spans="2:8" x14ac:dyDescent="0.2">
      <c r="B2833" s="87" t="str">
        <v/>
      </c>
      <c r="H2833" s="87" t="str">
        <v/>
      </c>
    </row>
    <row r="2834" spans="2:8" x14ac:dyDescent="0.2">
      <c r="B2834" s="87" t="str">
        <v/>
      </c>
      <c r="H2834" s="87" t="str">
        <v/>
      </c>
    </row>
    <row r="2835" spans="2:8" x14ac:dyDescent="0.2">
      <c r="B2835" s="87" t="str">
        <v/>
      </c>
      <c r="H2835" s="87" t="str">
        <v/>
      </c>
    </row>
    <row r="2836" spans="2:8" x14ac:dyDescent="0.2">
      <c r="B2836" s="87" t="str">
        <v/>
      </c>
      <c r="H2836" s="87" t="str">
        <v/>
      </c>
    </row>
    <row r="2837" spans="2:8" x14ac:dyDescent="0.2">
      <c r="B2837" s="87" t="str">
        <v/>
      </c>
      <c r="H2837" s="87" t="str">
        <v/>
      </c>
    </row>
    <row r="2838" spans="2:8" x14ac:dyDescent="0.2">
      <c r="B2838" s="87" t="str">
        <v/>
      </c>
      <c r="H2838" s="87" t="str">
        <v/>
      </c>
    </row>
    <row r="2839" spans="2:8" x14ac:dyDescent="0.2">
      <c r="B2839" s="87" t="str">
        <v/>
      </c>
      <c r="H2839" s="87" t="str">
        <v/>
      </c>
    </row>
    <row r="2840" spans="2:8" x14ac:dyDescent="0.2">
      <c r="B2840" s="87" t="str">
        <v/>
      </c>
      <c r="H2840" s="87" t="str">
        <v/>
      </c>
    </row>
    <row r="2841" spans="2:8" x14ac:dyDescent="0.2">
      <c r="B2841" s="87" t="str">
        <v/>
      </c>
      <c r="H2841" s="87" t="str">
        <v/>
      </c>
    </row>
    <row r="2842" spans="2:8" x14ac:dyDescent="0.2">
      <c r="B2842" s="87" t="str">
        <v/>
      </c>
      <c r="H2842" s="87" t="str">
        <v/>
      </c>
    </row>
    <row r="2843" spans="2:8" x14ac:dyDescent="0.2">
      <c r="B2843" s="87" t="str">
        <v/>
      </c>
      <c r="H2843" s="87" t="str">
        <v/>
      </c>
    </row>
    <row r="2844" spans="2:8" x14ac:dyDescent="0.2">
      <c r="B2844" s="87" t="str">
        <v/>
      </c>
      <c r="H2844" s="87" t="str">
        <v/>
      </c>
    </row>
    <row r="2845" spans="2:8" x14ac:dyDescent="0.2">
      <c r="B2845" s="87" t="str">
        <v/>
      </c>
      <c r="H2845" s="87" t="str">
        <v/>
      </c>
    </row>
    <row r="2846" spans="2:8" x14ac:dyDescent="0.2">
      <c r="B2846" s="87" t="str">
        <v/>
      </c>
      <c r="H2846" s="87" t="str">
        <v/>
      </c>
    </row>
    <row r="2847" spans="2:8" x14ac:dyDescent="0.2">
      <c r="B2847" s="87" t="str">
        <v/>
      </c>
      <c r="H2847" s="87" t="str">
        <v/>
      </c>
    </row>
    <row r="2848" spans="2:8" x14ac:dyDescent="0.2">
      <c r="B2848" s="87" t="str">
        <v/>
      </c>
      <c r="H2848" s="87" t="str">
        <v/>
      </c>
    </row>
    <row r="2849" spans="2:8" x14ac:dyDescent="0.2">
      <c r="B2849" s="87" t="str">
        <v/>
      </c>
      <c r="H2849" s="87" t="str">
        <v/>
      </c>
    </row>
    <row r="2850" spans="2:8" x14ac:dyDescent="0.2">
      <c r="B2850" s="87" t="str">
        <v/>
      </c>
      <c r="H2850" s="87" t="str">
        <v/>
      </c>
    </row>
    <row r="2851" spans="2:8" x14ac:dyDescent="0.2">
      <c r="B2851" s="87" t="str">
        <v/>
      </c>
      <c r="H2851" s="87" t="str">
        <v/>
      </c>
    </row>
    <row r="2852" spans="2:8" x14ac:dyDescent="0.2">
      <c r="B2852" s="87" t="str">
        <v/>
      </c>
      <c r="H2852" s="87" t="str">
        <v/>
      </c>
    </row>
    <row r="2853" spans="2:8" x14ac:dyDescent="0.2">
      <c r="B2853" s="87" t="str">
        <v/>
      </c>
      <c r="H2853" s="87" t="str">
        <v/>
      </c>
    </row>
    <row r="2854" spans="2:8" x14ac:dyDescent="0.2">
      <c r="B2854" s="87" t="str">
        <v/>
      </c>
      <c r="H2854" s="87" t="str">
        <v/>
      </c>
    </row>
    <row r="2855" spans="2:8" x14ac:dyDescent="0.2">
      <c r="B2855" s="87" t="str">
        <v/>
      </c>
      <c r="H2855" s="87" t="str">
        <v/>
      </c>
    </row>
    <row r="2856" spans="2:8" x14ac:dyDescent="0.2">
      <c r="B2856" s="87" t="str">
        <v/>
      </c>
      <c r="H2856" s="87" t="str">
        <v/>
      </c>
    </row>
    <row r="2857" spans="2:8" x14ac:dyDescent="0.2">
      <c r="B2857" s="87" t="str">
        <v/>
      </c>
      <c r="H2857" s="87" t="str">
        <v/>
      </c>
    </row>
    <row r="2858" spans="2:8" x14ac:dyDescent="0.2">
      <c r="B2858" s="87" t="str">
        <v/>
      </c>
      <c r="H2858" s="87" t="str">
        <v/>
      </c>
    </row>
    <row r="2859" spans="2:8" x14ac:dyDescent="0.2">
      <c r="B2859" s="87" t="str">
        <v/>
      </c>
      <c r="H2859" s="87" t="str">
        <v/>
      </c>
    </row>
    <row r="2860" spans="2:8" x14ac:dyDescent="0.2">
      <c r="B2860" s="87" t="str">
        <v/>
      </c>
      <c r="H2860" s="87" t="str">
        <v/>
      </c>
    </row>
    <row r="2861" spans="2:8" x14ac:dyDescent="0.2">
      <c r="B2861" s="87" t="str">
        <v/>
      </c>
      <c r="H2861" s="87" t="str">
        <v/>
      </c>
    </row>
    <row r="2862" spans="2:8" x14ac:dyDescent="0.2">
      <c r="B2862" s="87" t="str">
        <v/>
      </c>
      <c r="H2862" s="87" t="str">
        <v/>
      </c>
    </row>
    <row r="2863" spans="2:8" x14ac:dyDescent="0.2">
      <c r="B2863" s="87" t="str">
        <v/>
      </c>
      <c r="H2863" s="87" t="str">
        <v/>
      </c>
    </row>
    <row r="2864" spans="2:8" x14ac:dyDescent="0.2">
      <c r="B2864" s="87" t="str">
        <v/>
      </c>
      <c r="H2864" s="87" t="str">
        <v/>
      </c>
    </row>
    <row r="2865" spans="2:8" x14ac:dyDescent="0.2">
      <c r="B2865" s="87" t="str">
        <v/>
      </c>
      <c r="H2865" s="87" t="str">
        <v/>
      </c>
    </row>
    <row r="2866" spans="2:8" x14ac:dyDescent="0.2">
      <c r="B2866" s="87" t="str">
        <v/>
      </c>
      <c r="H2866" s="87" t="str">
        <v/>
      </c>
    </row>
    <row r="2867" spans="2:8" x14ac:dyDescent="0.2">
      <c r="B2867" s="87" t="str">
        <v/>
      </c>
      <c r="H2867" s="87" t="str">
        <v/>
      </c>
    </row>
    <row r="2868" spans="2:8" x14ac:dyDescent="0.2">
      <c r="B2868" s="87" t="str">
        <v/>
      </c>
      <c r="H2868" s="87" t="str">
        <v/>
      </c>
    </row>
    <row r="2869" spans="2:8" x14ac:dyDescent="0.2">
      <c r="B2869" s="87" t="str">
        <v/>
      </c>
      <c r="H2869" s="87" t="str">
        <v/>
      </c>
    </row>
    <row r="2870" spans="2:8" x14ac:dyDescent="0.2">
      <c r="B2870" s="87" t="str">
        <v/>
      </c>
      <c r="H2870" s="87" t="str">
        <v/>
      </c>
    </row>
    <row r="2871" spans="2:8" x14ac:dyDescent="0.2">
      <c r="B2871" s="87" t="str">
        <v/>
      </c>
      <c r="H2871" s="87" t="str">
        <v/>
      </c>
    </row>
    <row r="2872" spans="2:8" x14ac:dyDescent="0.2">
      <c r="B2872" s="87" t="str">
        <v/>
      </c>
      <c r="H2872" s="87" t="str">
        <v/>
      </c>
    </row>
    <row r="2873" spans="2:8" x14ac:dyDescent="0.2">
      <c r="B2873" s="87" t="str">
        <v/>
      </c>
      <c r="H2873" s="87" t="str">
        <v/>
      </c>
    </row>
    <row r="2874" spans="2:8" x14ac:dyDescent="0.2">
      <c r="B2874" s="87" t="str">
        <v/>
      </c>
      <c r="H2874" s="87" t="str">
        <v/>
      </c>
    </row>
    <row r="2875" spans="2:8" x14ac:dyDescent="0.2">
      <c r="B2875" s="87" t="str">
        <v/>
      </c>
      <c r="H2875" s="87" t="str">
        <v/>
      </c>
    </row>
    <row r="2876" spans="2:8" x14ac:dyDescent="0.2">
      <c r="B2876" s="87" t="str">
        <v/>
      </c>
      <c r="H2876" s="87" t="str">
        <v/>
      </c>
    </row>
    <row r="2877" spans="2:8" x14ac:dyDescent="0.2">
      <c r="B2877" s="87" t="str">
        <v/>
      </c>
      <c r="H2877" s="87" t="str">
        <v/>
      </c>
    </row>
    <row r="2878" spans="2:8" x14ac:dyDescent="0.2">
      <c r="B2878" s="87" t="str">
        <v/>
      </c>
      <c r="H2878" s="87" t="str">
        <v/>
      </c>
    </row>
    <row r="2879" spans="2:8" x14ac:dyDescent="0.2">
      <c r="B2879" s="87" t="str">
        <v/>
      </c>
      <c r="H2879" s="87" t="str">
        <v/>
      </c>
    </row>
    <row r="2880" spans="2:8" x14ac:dyDescent="0.2">
      <c r="B2880" s="87" t="str">
        <v/>
      </c>
      <c r="H2880" s="87" t="str">
        <v/>
      </c>
    </row>
    <row r="2881" spans="2:8" x14ac:dyDescent="0.2">
      <c r="B2881" s="87" t="str">
        <v/>
      </c>
      <c r="H2881" s="87" t="str">
        <v/>
      </c>
    </row>
    <row r="2882" spans="2:8" x14ac:dyDescent="0.2">
      <c r="B2882" s="87" t="str">
        <v/>
      </c>
      <c r="H2882" s="87" t="str">
        <v/>
      </c>
    </row>
    <row r="2883" spans="2:8" x14ac:dyDescent="0.2">
      <c r="B2883" s="87" t="str">
        <v/>
      </c>
      <c r="H2883" s="87" t="str">
        <v/>
      </c>
    </row>
    <row r="2884" spans="2:8" x14ac:dyDescent="0.2">
      <c r="B2884" s="87" t="str">
        <v/>
      </c>
      <c r="H2884" s="87" t="str">
        <v/>
      </c>
    </row>
    <row r="2885" spans="2:8" x14ac:dyDescent="0.2">
      <c r="B2885" s="87" t="str">
        <v/>
      </c>
      <c r="H2885" s="87" t="str">
        <v/>
      </c>
    </row>
    <row r="2886" spans="2:8" x14ac:dyDescent="0.2">
      <c r="B2886" s="87" t="str">
        <v/>
      </c>
      <c r="H2886" s="87" t="str">
        <v/>
      </c>
    </row>
    <row r="2887" spans="2:8" x14ac:dyDescent="0.2">
      <c r="B2887" s="87" t="str">
        <v/>
      </c>
      <c r="H2887" s="87" t="str">
        <v/>
      </c>
    </row>
    <row r="2888" spans="2:8" x14ac:dyDescent="0.2">
      <c r="B2888" s="87" t="str">
        <v/>
      </c>
      <c r="H2888" s="87" t="str">
        <v/>
      </c>
    </row>
    <row r="2889" spans="2:8" x14ac:dyDescent="0.2">
      <c r="B2889" s="87" t="str">
        <v/>
      </c>
      <c r="H2889" s="87" t="str">
        <v/>
      </c>
    </row>
    <row r="2890" spans="2:8" x14ac:dyDescent="0.2">
      <c r="B2890" s="87" t="str">
        <v/>
      </c>
      <c r="H2890" s="87" t="str">
        <v/>
      </c>
    </row>
    <row r="2891" spans="2:8" x14ac:dyDescent="0.2">
      <c r="B2891" s="87" t="str">
        <v/>
      </c>
      <c r="H2891" s="87" t="str">
        <v/>
      </c>
    </row>
    <row r="2892" spans="2:8" x14ac:dyDescent="0.2">
      <c r="B2892" s="87" t="str">
        <v/>
      </c>
      <c r="H2892" s="87" t="str">
        <v/>
      </c>
    </row>
    <row r="2893" spans="2:8" x14ac:dyDescent="0.2">
      <c r="B2893" s="87" t="str">
        <v/>
      </c>
      <c r="H2893" s="87" t="str">
        <v/>
      </c>
    </row>
    <row r="2894" spans="2:8" x14ac:dyDescent="0.2">
      <c r="B2894" s="87" t="str">
        <v/>
      </c>
      <c r="H2894" s="87" t="str">
        <v/>
      </c>
    </row>
    <row r="2895" spans="2:8" x14ac:dyDescent="0.2">
      <c r="B2895" s="87" t="str">
        <v/>
      </c>
      <c r="H2895" s="87" t="str">
        <v/>
      </c>
    </row>
    <row r="2896" spans="2:8" x14ac:dyDescent="0.2">
      <c r="B2896" s="87" t="str">
        <v/>
      </c>
      <c r="H2896" s="87" t="str">
        <v/>
      </c>
    </row>
    <row r="2897" spans="2:8" x14ac:dyDescent="0.2">
      <c r="B2897" s="87" t="str">
        <v/>
      </c>
      <c r="H2897" s="87" t="str">
        <v/>
      </c>
    </row>
    <row r="2898" spans="2:8" x14ac:dyDescent="0.2">
      <c r="B2898" s="87" t="str">
        <v/>
      </c>
      <c r="H2898" s="87" t="str">
        <v/>
      </c>
    </row>
    <row r="2899" spans="2:8" x14ac:dyDescent="0.2">
      <c r="B2899" s="87" t="str">
        <v/>
      </c>
      <c r="H2899" s="87" t="str">
        <v/>
      </c>
    </row>
    <row r="2900" spans="2:8" x14ac:dyDescent="0.2">
      <c r="B2900" s="87" t="str">
        <v/>
      </c>
      <c r="H2900" s="87" t="str">
        <v/>
      </c>
    </row>
    <row r="2901" spans="2:8" x14ac:dyDescent="0.2">
      <c r="B2901" s="87" t="str">
        <v/>
      </c>
      <c r="H2901" s="87" t="str">
        <v/>
      </c>
    </row>
    <row r="2902" spans="2:8" x14ac:dyDescent="0.2">
      <c r="B2902" s="87" t="str">
        <v/>
      </c>
      <c r="H2902" s="87" t="str">
        <v/>
      </c>
    </row>
    <row r="2903" spans="2:8" x14ac:dyDescent="0.2">
      <c r="B2903" s="87" t="str">
        <v/>
      </c>
      <c r="H2903" s="87" t="str">
        <v/>
      </c>
    </row>
    <row r="2904" spans="2:8" x14ac:dyDescent="0.2">
      <c r="B2904" s="87" t="str">
        <v/>
      </c>
      <c r="H2904" s="87" t="str">
        <v/>
      </c>
    </row>
    <row r="2905" spans="2:8" x14ac:dyDescent="0.2">
      <c r="B2905" s="87" t="str">
        <v/>
      </c>
      <c r="H2905" s="87" t="str">
        <v/>
      </c>
    </row>
    <row r="2906" spans="2:8" x14ac:dyDescent="0.2">
      <c r="B2906" s="87" t="str">
        <v/>
      </c>
      <c r="H2906" s="87" t="str">
        <v/>
      </c>
    </row>
    <row r="2907" spans="2:8" x14ac:dyDescent="0.2">
      <c r="B2907" s="87" t="str">
        <v/>
      </c>
      <c r="H2907" s="87" t="str">
        <v/>
      </c>
    </row>
    <row r="2908" spans="2:8" x14ac:dyDescent="0.2">
      <c r="B2908" s="87" t="str">
        <v/>
      </c>
      <c r="H2908" s="87" t="str">
        <v/>
      </c>
    </row>
    <row r="2909" spans="2:8" x14ac:dyDescent="0.2">
      <c r="B2909" s="87" t="str">
        <v/>
      </c>
      <c r="H2909" s="87" t="str">
        <v/>
      </c>
    </row>
    <row r="2910" spans="2:8" x14ac:dyDescent="0.2">
      <c r="B2910" s="87" t="str">
        <v/>
      </c>
      <c r="H2910" s="87" t="str">
        <v/>
      </c>
    </row>
    <row r="2911" spans="2:8" x14ac:dyDescent="0.2">
      <c r="B2911" s="87" t="str">
        <v/>
      </c>
      <c r="H2911" s="87" t="str">
        <v/>
      </c>
    </row>
    <row r="2912" spans="2:8" x14ac:dyDescent="0.2">
      <c r="B2912" s="87" t="str">
        <v/>
      </c>
      <c r="H2912" s="87" t="str">
        <v/>
      </c>
    </row>
    <row r="2913" spans="2:8" x14ac:dyDescent="0.2">
      <c r="B2913" s="87" t="str">
        <v/>
      </c>
      <c r="H2913" s="87" t="str">
        <v/>
      </c>
    </row>
    <row r="2914" spans="2:8" x14ac:dyDescent="0.2">
      <c r="B2914" s="87" t="str">
        <v/>
      </c>
      <c r="H2914" s="87" t="str">
        <v/>
      </c>
    </row>
    <row r="2915" spans="2:8" x14ac:dyDescent="0.2">
      <c r="B2915" s="87" t="str">
        <v/>
      </c>
      <c r="H2915" s="87" t="str">
        <v/>
      </c>
    </row>
    <row r="2916" spans="2:8" x14ac:dyDescent="0.2">
      <c r="B2916" s="87" t="str">
        <v/>
      </c>
      <c r="H2916" s="87" t="str">
        <v/>
      </c>
    </row>
    <row r="2917" spans="2:8" x14ac:dyDescent="0.2">
      <c r="B2917" s="87" t="str">
        <v/>
      </c>
      <c r="H2917" s="87" t="str">
        <v/>
      </c>
    </row>
    <row r="2918" spans="2:8" x14ac:dyDescent="0.2">
      <c r="B2918" s="87" t="str">
        <v/>
      </c>
      <c r="H2918" s="87" t="str">
        <v/>
      </c>
    </row>
    <row r="2919" spans="2:8" x14ac:dyDescent="0.2">
      <c r="B2919" s="87" t="str">
        <v/>
      </c>
      <c r="H2919" s="87" t="str">
        <v/>
      </c>
    </row>
    <row r="2920" spans="2:8" x14ac:dyDescent="0.2">
      <c r="B2920" s="87" t="str">
        <v/>
      </c>
      <c r="H2920" s="87" t="str">
        <v/>
      </c>
    </row>
    <row r="2921" spans="2:8" x14ac:dyDescent="0.2">
      <c r="B2921" s="87" t="str">
        <v/>
      </c>
      <c r="H2921" s="87" t="str">
        <v/>
      </c>
    </row>
    <row r="2922" spans="2:8" x14ac:dyDescent="0.2">
      <c r="B2922" s="87" t="str">
        <v/>
      </c>
      <c r="H2922" s="87" t="str">
        <v/>
      </c>
    </row>
    <row r="2923" spans="2:8" x14ac:dyDescent="0.2">
      <c r="B2923" s="87" t="str">
        <v/>
      </c>
      <c r="H2923" s="87" t="str">
        <v/>
      </c>
    </row>
    <row r="2924" spans="2:8" x14ac:dyDescent="0.2">
      <c r="B2924" s="87" t="str">
        <v/>
      </c>
      <c r="H2924" s="87" t="str">
        <v/>
      </c>
    </row>
    <row r="2925" spans="2:8" x14ac:dyDescent="0.2">
      <c r="B2925" s="87" t="str">
        <v/>
      </c>
      <c r="H2925" s="87" t="str">
        <v/>
      </c>
    </row>
    <row r="2926" spans="2:8" x14ac:dyDescent="0.2">
      <c r="B2926" s="87" t="str">
        <v/>
      </c>
      <c r="H2926" s="87" t="str">
        <v/>
      </c>
    </row>
    <row r="2927" spans="2:8" x14ac:dyDescent="0.2">
      <c r="B2927" s="87" t="str">
        <v/>
      </c>
      <c r="H2927" s="87" t="str">
        <v/>
      </c>
    </row>
    <row r="2928" spans="2:8" x14ac:dyDescent="0.2">
      <c r="B2928" s="87" t="str">
        <v/>
      </c>
      <c r="H2928" s="87" t="str">
        <v/>
      </c>
    </row>
    <row r="2929" spans="2:8" x14ac:dyDescent="0.2">
      <c r="B2929" s="87" t="str">
        <v/>
      </c>
      <c r="H2929" s="87" t="str">
        <v/>
      </c>
    </row>
    <row r="2930" spans="2:8" x14ac:dyDescent="0.2">
      <c r="B2930" s="87" t="str">
        <v/>
      </c>
      <c r="H2930" s="87" t="str">
        <v/>
      </c>
    </row>
    <row r="2931" spans="2:8" x14ac:dyDescent="0.2">
      <c r="B2931" s="87" t="str">
        <v/>
      </c>
      <c r="H2931" s="87" t="str">
        <v/>
      </c>
    </row>
    <row r="2932" spans="2:8" x14ac:dyDescent="0.2">
      <c r="B2932" s="87" t="str">
        <v/>
      </c>
      <c r="H2932" s="87" t="str">
        <v/>
      </c>
    </row>
    <row r="2933" spans="2:8" x14ac:dyDescent="0.2">
      <c r="B2933" s="87" t="str">
        <v/>
      </c>
      <c r="H2933" s="87" t="str">
        <v/>
      </c>
    </row>
    <row r="2934" spans="2:8" x14ac:dyDescent="0.2">
      <c r="B2934" s="87" t="str">
        <v/>
      </c>
      <c r="H2934" s="87" t="str">
        <v/>
      </c>
    </row>
    <row r="2935" spans="2:8" x14ac:dyDescent="0.2">
      <c r="B2935" s="87" t="str">
        <v/>
      </c>
      <c r="H2935" s="87" t="str">
        <v/>
      </c>
    </row>
    <row r="2936" spans="2:8" x14ac:dyDescent="0.2">
      <c r="B2936" s="87" t="str">
        <v/>
      </c>
      <c r="H2936" s="87" t="str">
        <v/>
      </c>
    </row>
    <row r="2937" spans="2:8" x14ac:dyDescent="0.2">
      <c r="B2937" s="87" t="str">
        <v/>
      </c>
      <c r="H2937" s="87" t="str">
        <v/>
      </c>
    </row>
    <row r="2938" spans="2:8" x14ac:dyDescent="0.2">
      <c r="B2938" s="87" t="str">
        <v/>
      </c>
      <c r="H2938" s="87" t="str">
        <v/>
      </c>
    </row>
    <row r="2939" spans="2:8" x14ac:dyDescent="0.2">
      <c r="B2939" s="87" t="str">
        <v/>
      </c>
      <c r="H2939" s="87" t="str">
        <v/>
      </c>
    </row>
    <row r="2940" spans="2:8" x14ac:dyDescent="0.2">
      <c r="B2940" s="87" t="str">
        <v/>
      </c>
      <c r="H2940" s="87" t="str">
        <v/>
      </c>
    </row>
    <row r="2941" spans="2:8" x14ac:dyDescent="0.2">
      <c r="B2941" s="87" t="str">
        <v/>
      </c>
      <c r="H2941" s="87" t="str">
        <v/>
      </c>
    </row>
    <row r="2942" spans="2:8" x14ac:dyDescent="0.2">
      <c r="B2942" s="87" t="str">
        <v/>
      </c>
      <c r="H2942" s="87" t="str">
        <v/>
      </c>
    </row>
    <row r="2943" spans="2:8" x14ac:dyDescent="0.2">
      <c r="B2943" s="87" t="str">
        <v/>
      </c>
      <c r="H2943" s="87" t="str">
        <v/>
      </c>
    </row>
    <row r="2944" spans="2:8" x14ac:dyDescent="0.2">
      <c r="B2944" s="87" t="str">
        <v/>
      </c>
      <c r="H2944" s="87" t="str">
        <v/>
      </c>
    </row>
    <row r="2945" spans="2:8" x14ac:dyDescent="0.2">
      <c r="B2945" s="87" t="str">
        <v/>
      </c>
      <c r="H2945" s="87" t="str">
        <v/>
      </c>
    </row>
    <row r="2946" spans="2:8" x14ac:dyDescent="0.2">
      <c r="B2946" s="87" t="str">
        <v/>
      </c>
      <c r="H2946" s="87" t="str">
        <v/>
      </c>
    </row>
    <row r="2947" spans="2:8" x14ac:dyDescent="0.2">
      <c r="B2947" s="87" t="str">
        <v/>
      </c>
      <c r="H2947" s="87" t="str">
        <v/>
      </c>
    </row>
    <row r="2948" spans="2:8" x14ac:dyDescent="0.2">
      <c r="B2948" s="87" t="str">
        <v/>
      </c>
      <c r="H2948" s="87" t="str">
        <v/>
      </c>
    </row>
    <row r="2949" spans="2:8" x14ac:dyDescent="0.2">
      <c r="B2949" s="87" t="str">
        <v/>
      </c>
      <c r="H2949" s="87" t="str">
        <v/>
      </c>
    </row>
    <row r="2950" spans="2:8" x14ac:dyDescent="0.2">
      <c r="B2950" s="87" t="str">
        <v/>
      </c>
      <c r="H2950" s="87" t="str">
        <v/>
      </c>
    </row>
    <row r="2951" spans="2:8" x14ac:dyDescent="0.2">
      <c r="B2951" s="87" t="str">
        <v/>
      </c>
      <c r="H2951" s="87" t="str">
        <v/>
      </c>
    </row>
    <row r="2952" spans="2:8" x14ac:dyDescent="0.2">
      <c r="B2952" s="87" t="str">
        <v/>
      </c>
      <c r="H2952" s="87" t="str">
        <v/>
      </c>
    </row>
    <row r="2953" spans="2:8" x14ac:dyDescent="0.2">
      <c r="B2953" s="87" t="str">
        <v/>
      </c>
      <c r="H2953" s="87" t="str">
        <v/>
      </c>
    </row>
    <row r="2954" spans="2:8" x14ac:dyDescent="0.2">
      <c r="B2954" s="87" t="str">
        <v/>
      </c>
      <c r="H2954" s="87" t="str">
        <v/>
      </c>
    </row>
    <row r="2955" spans="2:8" x14ac:dyDescent="0.2">
      <c r="B2955" s="87" t="str">
        <v/>
      </c>
      <c r="H2955" s="87" t="str">
        <v/>
      </c>
    </row>
    <row r="2956" spans="2:8" x14ac:dyDescent="0.2">
      <c r="B2956" s="87" t="str">
        <v/>
      </c>
      <c r="H2956" s="87" t="str">
        <v/>
      </c>
    </row>
    <row r="2957" spans="2:8" x14ac:dyDescent="0.2">
      <c r="B2957" s="87" t="str">
        <v/>
      </c>
      <c r="H2957" s="87" t="str">
        <v/>
      </c>
    </row>
    <row r="2958" spans="2:8" x14ac:dyDescent="0.2">
      <c r="B2958" s="87" t="str">
        <v/>
      </c>
      <c r="H2958" s="87" t="str">
        <v/>
      </c>
    </row>
    <row r="2959" spans="2:8" x14ac:dyDescent="0.2">
      <c r="B2959" s="87" t="str">
        <v/>
      </c>
      <c r="H2959" s="87" t="str">
        <v/>
      </c>
    </row>
    <row r="2960" spans="2:8" x14ac:dyDescent="0.2">
      <c r="B2960" s="87" t="str">
        <v/>
      </c>
      <c r="H2960" s="87" t="str">
        <v/>
      </c>
    </row>
    <row r="2961" spans="2:8" x14ac:dyDescent="0.2">
      <c r="B2961" s="87" t="str">
        <v/>
      </c>
      <c r="H2961" s="87" t="str">
        <v/>
      </c>
    </row>
    <row r="2962" spans="2:8" x14ac:dyDescent="0.2">
      <c r="B2962" s="87" t="str">
        <v/>
      </c>
      <c r="H2962" s="87" t="str">
        <v/>
      </c>
    </row>
    <row r="2963" spans="2:8" x14ac:dyDescent="0.2">
      <c r="B2963" s="87" t="str">
        <v/>
      </c>
      <c r="H2963" s="87" t="str">
        <v/>
      </c>
    </row>
    <row r="2964" spans="2:8" x14ac:dyDescent="0.2">
      <c r="B2964" s="87" t="str">
        <v/>
      </c>
      <c r="H2964" s="87" t="str">
        <v/>
      </c>
    </row>
    <row r="2965" spans="2:8" x14ac:dyDescent="0.2">
      <c r="B2965" s="87" t="str">
        <v/>
      </c>
      <c r="H2965" s="87" t="str">
        <v/>
      </c>
    </row>
    <row r="2966" spans="2:8" x14ac:dyDescent="0.2">
      <c r="B2966" s="87" t="str">
        <v/>
      </c>
      <c r="H2966" s="87" t="str">
        <v/>
      </c>
    </row>
    <row r="2967" spans="2:8" x14ac:dyDescent="0.2">
      <c r="B2967" s="87" t="str">
        <v/>
      </c>
      <c r="H2967" s="87" t="str">
        <v/>
      </c>
    </row>
    <row r="2968" spans="2:8" x14ac:dyDescent="0.2">
      <c r="B2968" s="87" t="str">
        <v/>
      </c>
      <c r="H2968" s="87" t="str">
        <v/>
      </c>
    </row>
    <row r="2969" spans="2:8" x14ac:dyDescent="0.2">
      <c r="B2969" s="87" t="str">
        <v/>
      </c>
      <c r="H2969" s="87" t="str">
        <v/>
      </c>
    </row>
    <row r="2970" spans="2:8" x14ac:dyDescent="0.2">
      <c r="B2970" s="87" t="str">
        <v/>
      </c>
      <c r="H2970" s="87" t="str">
        <v/>
      </c>
    </row>
    <row r="2971" spans="2:8" x14ac:dyDescent="0.2">
      <c r="B2971" s="87" t="str">
        <v/>
      </c>
      <c r="H2971" s="87" t="str">
        <v/>
      </c>
    </row>
    <row r="2972" spans="2:8" x14ac:dyDescent="0.2">
      <c r="B2972" s="87" t="str">
        <v/>
      </c>
      <c r="H2972" s="87" t="str">
        <v/>
      </c>
    </row>
    <row r="2973" spans="2:8" x14ac:dyDescent="0.2">
      <c r="B2973" s="87" t="str">
        <v/>
      </c>
      <c r="H2973" s="87" t="str">
        <v/>
      </c>
    </row>
    <row r="2974" spans="2:8" x14ac:dyDescent="0.2">
      <c r="B2974" s="87" t="str">
        <v/>
      </c>
      <c r="H2974" s="87" t="str">
        <v/>
      </c>
    </row>
    <row r="2975" spans="2:8" x14ac:dyDescent="0.2">
      <c r="B2975" s="87" t="str">
        <v/>
      </c>
      <c r="H2975" s="87" t="str">
        <v/>
      </c>
    </row>
    <row r="2976" spans="2:8" x14ac:dyDescent="0.2">
      <c r="B2976" s="87" t="str">
        <v/>
      </c>
      <c r="H2976" s="87" t="str">
        <v/>
      </c>
    </row>
    <row r="2977" spans="2:8" x14ac:dyDescent="0.2">
      <c r="B2977" s="87" t="str">
        <v/>
      </c>
      <c r="H2977" s="87" t="str">
        <v/>
      </c>
    </row>
    <row r="2978" spans="2:8" x14ac:dyDescent="0.2">
      <c r="B2978" s="87" t="str">
        <v/>
      </c>
      <c r="H2978" s="87" t="str">
        <v/>
      </c>
    </row>
    <row r="2979" spans="2:8" x14ac:dyDescent="0.2">
      <c r="B2979" s="87" t="str">
        <v/>
      </c>
      <c r="H2979" s="87" t="str">
        <v/>
      </c>
    </row>
    <row r="2980" spans="2:8" x14ac:dyDescent="0.2">
      <c r="B2980" s="87" t="str">
        <v/>
      </c>
      <c r="H2980" s="87" t="str">
        <v/>
      </c>
    </row>
    <row r="2981" spans="2:8" x14ac:dyDescent="0.2">
      <c r="B2981" s="87" t="str">
        <v/>
      </c>
      <c r="H2981" s="87" t="str">
        <v/>
      </c>
    </row>
    <row r="2982" spans="2:8" x14ac:dyDescent="0.2">
      <c r="B2982" s="87" t="str">
        <v/>
      </c>
      <c r="H2982" s="87" t="str">
        <v/>
      </c>
    </row>
    <row r="2983" spans="2:8" x14ac:dyDescent="0.2">
      <c r="B2983" s="87" t="str">
        <v/>
      </c>
      <c r="H2983" s="87" t="str">
        <v/>
      </c>
    </row>
    <row r="2984" spans="2:8" x14ac:dyDescent="0.2">
      <c r="B2984" s="87" t="str">
        <v/>
      </c>
      <c r="H2984" s="87" t="str">
        <v/>
      </c>
    </row>
    <row r="2985" spans="2:8" x14ac:dyDescent="0.2">
      <c r="B2985" s="87" t="str">
        <v/>
      </c>
      <c r="H2985" s="87" t="str">
        <v/>
      </c>
    </row>
    <row r="2986" spans="2:8" x14ac:dyDescent="0.2">
      <c r="B2986" s="87" t="str">
        <v/>
      </c>
      <c r="H2986" s="87" t="str">
        <v/>
      </c>
    </row>
    <row r="2987" spans="2:8" x14ac:dyDescent="0.2">
      <c r="B2987" s="87" t="str">
        <v/>
      </c>
      <c r="H2987" s="87" t="str">
        <v/>
      </c>
    </row>
    <row r="2988" spans="2:8" x14ac:dyDescent="0.2">
      <c r="B2988" s="87" t="str">
        <v/>
      </c>
      <c r="H2988" s="87" t="str">
        <v/>
      </c>
    </row>
    <row r="2989" spans="2:8" x14ac:dyDescent="0.2">
      <c r="B2989" s="87" t="str">
        <v/>
      </c>
      <c r="H2989" s="87" t="str">
        <v/>
      </c>
    </row>
    <row r="2990" spans="2:8" x14ac:dyDescent="0.2">
      <c r="B2990" s="87" t="str">
        <v/>
      </c>
      <c r="H2990" s="87" t="str">
        <v/>
      </c>
    </row>
    <row r="2991" spans="2:8" x14ac:dyDescent="0.2">
      <c r="B2991" s="87" t="str">
        <v/>
      </c>
      <c r="H2991" s="87" t="str">
        <v/>
      </c>
    </row>
    <row r="2992" spans="2:8" x14ac:dyDescent="0.2">
      <c r="B2992" s="87" t="str">
        <v/>
      </c>
      <c r="H2992" s="87" t="str">
        <v/>
      </c>
    </row>
    <row r="2993" spans="2:8" x14ac:dyDescent="0.2">
      <c r="B2993" s="87" t="str">
        <v/>
      </c>
      <c r="H2993" s="87" t="str">
        <v/>
      </c>
    </row>
    <row r="2994" spans="2:8" x14ac:dyDescent="0.2">
      <c r="B2994" s="87" t="str">
        <v/>
      </c>
      <c r="H2994" s="87" t="str">
        <v/>
      </c>
    </row>
    <row r="2995" spans="2:8" x14ac:dyDescent="0.2">
      <c r="B2995" s="87" t="str">
        <v/>
      </c>
      <c r="H2995" s="87" t="str">
        <v/>
      </c>
    </row>
    <row r="2996" spans="2:8" x14ac:dyDescent="0.2">
      <c r="B2996" s="87" t="str">
        <v/>
      </c>
      <c r="H2996" s="87" t="str">
        <v/>
      </c>
    </row>
    <row r="2997" spans="2:8" x14ac:dyDescent="0.2">
      <c r="B2997" s="87" t="str">
        <v/>
      </c>
      <c r="H2997" s="87" t="str">
        <v/>
      </c>
    </row>
    <row r="2998" spans="2:8" x14ac:dyDescent="0.2">
      <c r="B2998" s="87" t="str">
        <v/>
      </c>
      <c r="H2998" s="87" t="str">
        <v/>
      </c>
    </row>
    <row r="2999" spans="2:8" x14ac:dyDescent="0.2">
      <c r="B2999" s="87" t="str">
        <v/>
      </c>
      <c r="H2999" s="87" t="str">
        <v/>
      </c>
    </row>
    <row r="3000" spans="2:8" x14ac:dyDescent="0.2">
      <c r="B3000" s="87" t="str">
        <v/>
      </c>
      <c r="H3000" s="87" t="str">
        <v/>
      </c>
    </row>
    <row r="3001" spans="2:8" x14ac:dyDescent="0.2">
      <c r="B3001" s="87" t="str">
        <v/>
      </c>
      <c r="H3001" s="87" t="str">
        <v/>
      </c>
    </row>
    <row r="3002" spans="2:8" x14ac:dyDescent="0.2">
      <c r="B3002" s="87" t="str">
        <v/>
      </c>
      <c r="H3002" s="87" t="str">
        <v/>
      </c>
    </row>
    <row r="3003" spans="2:8" x14ac:dyDescent="0.2">
      <c r="B3003" s="87" t="str">
        <v/>
      </c>
      <c r="H3003" s="87" t="str">
        <v/>
      </c>
    </row>
    <row r="3004" spans="2:8" x14ac:dyDescent="0.2">
      <c r="B3004" s="87" t="str">
        <v/>
      </c>
      <c r="H3004" s="87" t="str">
        <v/>
      </c>
    </row>
    <row r="3005" spans="2:8" x14ac:dyDescent="0.2">
      <c r="B3005" s="87" t="str">
        <v/>
      </c>
      <c r="H3005" s="87" t="str">
        <v/>
      </c>
    </row>
    <row r="3006" spans="2:8" x14ac:dyDescent="0.2">
      <c r="B3006" s="87" t="str">
        <v/>
      </c>
      <c r="H3006" s="87" t="str">
        <v/>
      </c>
    </row>
    <row r="3007" spans="2:8" x14ac:dyDescent="0.2">
      <c r="B3007" s="87" t="str">
        <v/>
      </c>
      <c r="H3007" s="87" t="str">
        <v/>
      </c>
    </row>
    <row r="3008" spans="2:8" x14ac:dyDescent="0.2">
      <c r="B3008" s="87" t="str">
        <v/>
      </c>
      <c r="H3008" s="87" t="str">
        <v/>
      </c>
    </row>
    <row r="3009" spans="2:8" x14ac:dyDescent="0.2">
      <c r="B3009" s="87" t="str">
        <v/>
      </c>
      <c r="H3009" s="87" t="str">
        <v/>
      </c>
    </row>
    <row r="3010" spans="2:8" x14ac:dyDescent="0.2">
      <c r="B3010" s="87" t="str">
        <v/>
      </c>
      <c r="H3010" s="87" t="str">
        <v/>
      </c>
    </row>
    <row r="3011" spans="2:8" x14ac:dyDescent="0.2">
      <c r="B3011" s="87" t="str">
        <v/>
      </c>
      <c r="H3011" s="87" t="str">
        <v/>
      </c>
    </row>
    <row r="3012" spans="2:8" x14ac:dyDescent="0.2">
      <c r="B3012" s="87" t="str">
        <v/>
      </c>
      <c r="H3012" s="87" t="str">
        <v/>
      </c>
    </row>
    <row r="3013" spans="2:8" x14ac:dyDescent="0.2">
      <c r="B3013" s="87" t="str">
        <v/>
      </c>
      <c r="H3013" s="87" t="str">
        <v/>
      </c>
    </row>
    <row r="3014" spans="2:8" x14ac:dyDescent="0.2">
      <c r="B3014" s="87" t="str">
        <v/>
      </c>
      <c r="H3014" s="87" t="str">
        <v/>
      </c>
    </row>
    <row r="3015" spans="2:8" x14ac:dyDescent="0.2">
      <c r="B3015" s="87" t="str">
        <v/>
      </c>
      <c r="H3015" s="87" t="str">
        <v/>
      </c>
    </row>
    <row r="3016" spans="2:8" x14ac:dyDescent="0.2">
      <c r="B3016" s="87" t="str">
        <v/>
      </c>
      <c r="H3016" s="87" t="str">
        <v/>
      </c>
    </row>
    <row r="3017" spans="2:8" x14ac:dyDescent="0.2">
      <c r="B3017" s="87" t="str">
        <v/>
      </c>
      <c r="H3017" s="87" t="str">
        <v/>
      </c>
    </row>
    <row r="3018" spans="2:8" x14ac:dyDescent="0.2">
      <c r="B3018" s="87" t="str">
        <v/>
      </c>
      <c r="H3018" s="87" t="str">
        <v/>
      </c>
    </row>
    <row r="3019" spans="2:8" x14ac:dyDescent="0.2">
      <c r="B3019" s="87" t="str">
        <v/>
      </c>
      <c r="H3019" s="87" t="str">
        <v/>
      </c>
    </row>
    <row r="3020" spans="2:8" x14ac:dyDescent="0.2">
      <c r="B3020" s="87" t="str">
        <v/>
      </c>
      <c r="H3020" s="87" t="str">
        <v/>
      </c>
    </row>
    <row r="3021" spans="2:8" x14ac:dyDescent="0.2">
      <c r="B3021" s="87" t="str">
        <v/>
      </c>
      <c r="H3021" s="87" t="str">
        <v/>
      </c>
    </row>
    <row r="3022" spans="2:8" x14ac:dyDescent="0.2">
      <c r="B3022" s="87" t="str">
        <v/>
      </c>
      <c r="H3022" s="87" t="str">
        <v/>
      </c>
    </row>
    <row r="3023" spans="2:8" x14ac:dyDescent="0.2">
      <c r="B3023" s="87" t="str">
        <v/>
      </c>
      <c r="H3023" s="87" t="str">
        <v/>
      </c>
    </row>
    <row r="3024" spans="2:8" x14ac:dyDescent="0.2">
      <c r="B3024" s="87" t="str">
        <v/>
      </c>
      <c r="H3024" s="87" t="str">
        <v/>
      </c>
    </row>
    <row r="3025" spans="2:8" x14ac:dyDescent="0.2">
      <c r="B3025" s="87" t="str">
        <v/>
      </c>
      <c r="H3025" s="87" t="str">
        <v/>
      </c>
    </row>
    <row r="3026" spans="2:8" x14ac:dyDescent="0.2">
      <c r="B3026" s="87" t="str">
        <v/>
      </c>
      <c r="H3026" s="87" t="str">
        <v/>
      </c>
    </row>
    <row r="3027" spans="2:8" x14ac:dyDescent="0.2">
      <c r="B3027" s="87" t="str">
        <v/>
      </c>
      <c r="H3027" s="87" t="str">
        <v/>
      </c>
    </row>
    <row r="3028" spans="2:8" x14ac:dyDescent="0.2">
      <c r="B3028" s="87" t="str">
        <v/>
      </c>
      <c r="H3028" s="87" t="str">
        <v/>
      </c>
    </row>
    <row r="3029" spans="2:8" x14ac:dyDescent="0.2">
      <c r="B3029" s="87" t="str">
        <v/>
      </c>
      <c r="H3029" s="87" t="str">
        <v/>
      </c>
    </row>
    <row r="3030" spans="2:8" x14ac:dyDescent="0.2">
      <c r="B3030" s="87" t="str">
        <v/>
      </c>
      <c r="H3030" s="87" t="str">
        <v/>
      </c>
    </row>
    <row r="3031" spans="2:8" x14ac:dyDescent="0.2">
      <c r="B3031" s="87" t="str">
        <v/>
      </c>
      <c r="H3031" s="87" t="str">
        <v/>
      </c>
    </row>
    <row r="3032" spans="2:8" x14ac:dyDescent="0.2">
      <c r="B3032" s="87" t="str">
        <v/>
      </c>
      <c r="H3032" s="87" t="str">
        <v/>
      </c>
    </row>
    <row r="3033" spans="2:8" x14ac:dyDescent="0.2">
      <c r="B3033" s="87" t="str">
        <v/>
      </c>
      <c r="H3033" s="87" t="str">
        <v/>
      </c>
    </row>
    <row r="3034" spans="2:8" x14ac:dyDescent="0.2">
      <c r="B3034" s="87" t="str">
        <v/>
      </c>
      <c r="H3034" s="87" t="str">
        <v/>
      </c>
    </row>
    <row r="3035" spans="2:8" x14ac:dyDescent="0.2">
      <c r="B3035" s="87" t="str">
        <v/>
      </c>
      <c r="H3035" s="87" t="str">
        <v/>
      </c>
    </row>
    <row r="3036" spans="2:8" x14ac:dyDescent="0.2">
      <c r="B3036" s="87" t="str">
        <v/>
      </c>
      <c r="H3036" s="87" t="str">
        <v/>
      </c>
    </row>
    <row r="3037" spans="2:8" x14ac:dyDescent="0.2">
      <c r="B3037" s="87" t="str">
        <v/>
      </c>
      <c r="H3037" s="87" t="str">
        <v/>
      </c>
    </row>
    <row r="3038" spans="2:8" x14ac:dyDescent="0.2">
      <c r="B3038" s="87" t="str">
        <v/>
      </c>
      <c r="H3038" s="87" t="str">
        <v/>
      </c>
    </row>
    <row r="3039" spans="2:8" x14ac:dyDescent="0.2">
      <c r="B3039" s="87" t="str">
        <v/>
      </c>
      <c r="H3039" s="87" t="str">
        <v/>
      </c>
    </row>
    <row r="3040" spans="2:8" x14ac:dyDescent="0.2">
      <c r="B3040" s="87" t="str">
        <v/>
      </c>
      <c r="H3040" s="87" t="str">
        <v/>
      </c>
    </row>
    <row r="3041" spans="2:8" x14ac:dyDescent="0.2">
      <c r="B3041" s="87" t="str">
        <v/>
      </c>
      <c r="H3041" s="87" t="str">
        <v/>
      </c>
    </row>
    <row r="3042" spans="2:8" x14ac:dyDescent="0.2">
      <c r="B3042" s="87" t="str">
        <v/>
      </c>
      <c r="H3042" s="87" t="str">
        <v/>
      </c>
    </row>
    <row r="3043" spans="2:8" x14ac:dyDescent="0.2">
      <c r="B3043" s="87" t="str">
        <v/>
      </c>
      <c r="H3043" s="87" t="str">
        <v/>
      </c>
    </row>
    <row r="3044" spans="2:8" x14ac:dyDescent="0.2">
      <c r="B3044" s="87" t="str">
        <v/>
      </c>
      <c r="H3044" s="87" t="str">
        <v/>
      </c>
    </row>
    <row r="3045" spans="2:8" x14ac:dyDescent="0.2">
      <c r="B3045" s="87" t="str">
        <v/>
      </c>
      <c r="H3045" s="87" t="str">
        <v/>
      </c>
    </row>
    <row r="3046" spans="2:8" x14ac:dyDescent="0.2">
      <c r="B3046" s="87" t="str">
        <v/>
      </c>
      <c r="H3046" s="87" t="str">
        <v/>
      </c>
    </row>
    <row r="3047" spans="2:8" x14ac:dyDescent="0.2">
      <c r="B3047" s="87" t="str">
        <v/>
      </c>
      <c r="H3047" s="87" t="str">
        <v/>
      </c>
    </row>
    <row r="3048" spans="2:8" x14ac:dyDescent="0.2">
      <c r="B3048" s="87" t="str">
        <v/>
      </c>
      <c r="H3048" s="87" t="str">
        <v/>
      </c>
    </row>
    <row r="3049" spans="2:8" x14ac:dyDescent="0.2">
      <c r="B3049" s="87" t="str">
        <v/>
      </c>
      <c r="H3049" s="87" t="str">
        <v/>
      </c>
    </row>
    <row r="3050" spans="2:8" x14ac:dyDescent="0.2">
      <c r="B3050" s="87" t="str">
        <v/>
      </c>
      <c r="H3050" s="87" t="str">
        <v/>
      </c>
    </row>
    <row r="3051" spans="2:8" x14ac:dyDescent="0.2">
      <c r="B3051" s="87" t="str">
        <v/>
      </c>
      <c r="H3051" s="87" t="str">
        <v/>
      </c>
    </row>
    <row r="3052" spans="2:8" x14ac:dyDescent="0.2">
      <c r="B3052" s="87" t="str">
        <v/>
      </c>
      <c r="H3052" s="87" t="str">
        <v/>
      </c>
    </row>
    <row r="3053" spans="2:8" x14ac:dyDescent="0.2">
      <c r="B3053" s="87" t="str">
        <v/>
      </c>
      <c r="H3053" s="87" t="str">
        <v/>
      </c>
    </row>
    <row r="3054" spans="2:8" x14ac:dyDescent="0.2">
      <c r="B3054" s="87" t="str">
        <v/>
      </c>
      <c r="H3054" s="87" t="str">
        <v/>
      </c>
    </row>
    <row r="3055" spans="2:8" x14ac:dyDescent="0.2">
      <c r="B3055" s="87" t="str">
        <v/>
      </c>
      <c r="H3055" s="87" t="str">
        <v/>
      </c>
    </row>
    <row r="3056" spans="2:8" x14ac:dyDescent="0.2">
      <c r="B3056" s="87" t="str">
        <v/>
      </c>
      <c r="H3056" s="87" t="str">
        <v/>
      </c>
    </row>
    <row r="3057" spans="2:8" x14ac:dyDescent="0.2">
      <c r="B3057" s="87" t="str">
        <v/>
      </c>
      <c r="H3057" s="87" t="str">
        <v/>
      </c>
    </row>
    <row r="3058" spans="2:8" x14ac:dyDescent="0.2">
      <c r="B3058" s="87" t="str">
        <v/>
      </c>
      <c r="H3058" s="87" t="str">
        <v/>
      </c>
    </row>
    <row r="3059" spans="2:8" x14ac:dyDescent="0.2">
      <c r="B3059" s="87" t="str">
        <v/>
      </c>
      <c r="H3059" s="87" t="str">
        <v/>
      </c>
    </row>
    <row r="3060" spans="2:8" x14ac:dyDescent="0.2">
      <c r="B3060" s="87" t="str">
        <v/>
      </c>
      <c r="H3060" s="87" t="str">
        <v/>
      </c>
    </row>
    <row r="3061" spans="2:8" x14ac:dyDescent="0.2">
      <c r="B3061" s="87" t="str">
        <v/>
      </c>
      <c r="H3061" s="87" t="str">
        <v/>
      </c>
    </row>
    <row r="3062" spans="2:8" x14ac:dyDescent="0.2">
      <c r="B3062" s="87" t="str">
        <v/>
      </c>
      <c r="H3062" s="87" t="str">
        <v/>
      </c>
    </row>
    <row r="3063" spans="2:8" x14ac:dyDescent="0.2">
      <c r="B3063" s="87" t="str">
        <v/>
      </c>
      <c r="H3063" s="87" t="str">
        <v/>
      </c>
    </row>
    <row r="3064" spans="2:8" x14ac:dyDescent="0.2">
      <c r="B3064" s="87" t="str">
        <v/>
      </c>
      <c r="H3064" s="87" t="str">
        <v/>
      </c>
    </row>
    <row r="3065" spans="2:8" x14ac:dyDescent="0.2">
      <c r="B3065" s="87" t="str">
        <v/>
      </c>
      <c r="H3065" s="87" t="str">
        <v/>
      </c>
    </row>
    <row r="3066" spans="2:8" x14ac:dyDescent="0.2">
      <c r="B3066" s="87" t="str">
        <v/>
      </c>
      <c r="H3066" s="87" t="str">
        <v/>
      </c>
    </row>
    <row r="3067" spans="2:8" x14ac:dyDescent="0.2">
      <c r="B3067" s="87" t="str">
        <v/>
      </c>
      <c r="H3067" s="87" t="str">
        <v/>
      </c>
    </row>
    <row r="3068" spans="2:8" x14ac:dyDescent="0.2">
      <c r="B3068" s="87" t="str">
        <v/>
      </c>
      <c r="H3068" s="87" t="str">
        <v/>
      </c>
    </row>
    <row r="3069" spans="2:8" x14ac:dyDescent="0.2">
      <c r="B3069" s="87" t="str">
        <v/>
      </c>
      <c r="H3069" s="87" t="str">
        <v/>
      </c>
    </row>
    <row r="3070" spans="2:8" x14ac:dyDescent="0.2">
      <c r="B3070" s="87" t="str">
        <v/>
      </c>
      <c r="H3070" s="87" t="str">
        <v/>
      </c>
    </row>
    <row r="3071" spans="2:8" x14ac:dyDescent="0.2">
      <c r="B3071" s="87" t="str">
        <v/>
      </c>
      <c r="H3071" s="87" t="str">
        <v/>
      </c>
    </row>
    <row r="3072" spans="2:8" x14ac:dyDescent="0.2">
      <c r="B3072" s="87" t="str">
        <v/>
      </c>
      <c r="H3072" s="87" t="str">
        <v/>
      </c>
    </row>
    <row r="3073" spans="2:8" x14ac:dyDescent="0.2">
      <c r="B3073" s="87" t="str">
        <v/>
      </c>
      <c r="H3073" s="87" t="str">
        <v/>
      </c>
    </row>
    <row r="3074" spans="2:8" x14ac:dyDescent="0.2">
      <c r="B3074" s="87" t="str">
        <v/>
      </c>
      <c r="H3074" s="87" t="str">
        <v/>
      </c>
    </row>
    <row r="3075" spans="2:8" x14ac:dyDescent="0.2">
      <c r="B3075" s="87" t="str">
        <v/>
      </c>
      <c r="H3075" s="87" t="str">
        <v/>
      </c>
    </row>
    <row r="3076" spans="2:8" x14ac:dyDescent="0.2">
      <c r="B3076" s="87" t="str">
        <v/>
      </c>
      <c r="H3076" s="87" t="str">
        <v/>
      </c>
    </row>
    <row r="3077" spans="2:8" x14ac:dyDescent="0.2">
      <c r="B3077" s="87" t="str">
        <v/>
      </c>
      <c r="H3077" s="87" t="str">
        <v/>
      </c>
    </row>
    <row r="3078" spans="2:8" x14ac:dyDescent="0.2">
      <c r="B3078" s="87" t="str">
        <v/>
      </c>
      <c r="H3078" s="87" t="str">
        <v/>
      </c>
    </row>
    <row r="3079" spans="2:8" x14ac:dyDescent="0.2">
      <c r="B3079" s="87" t="str">
        <v/>
      </c>
      <c r="H3079" s="87" t="str">
        <v/>
      </c>
    </row>
    <row r="3080" spans="2:8" x14ac:dyDescent="0.2">
      <c r="B3080" s="87" t="str">
        <v/>
      </c>
      <c r="H3080" s="87" t="str">
        <v/>
      </c>
    </row>
    <row r="3081" spans="2:8" x14ac:dyDescent="0.2">
      <c r="B3081" s="87" t="str">
        <v/>
      </c>
      <c r="H3081" s="87" t="str">
        <v/>
      </c>
    </row>
    <row r="3082" spans="2:8" x14ac:dyDescent="0.2">
      <c r="B3082" s="87" t="str">
        <v/>
      </c>
      <c r="H3082" s="87" t="str">
        <v/>
      </c>
    </row>
    <row r="3083" spans="2:8" x14ac:dyDescent="0.2">
      <c r="B3083" s="87" t="str">
        <v/>
      </c>
      <c r="H3083" s="87" t="str">
        <v/>
      </c>
    </row>
    <row r="3084" spans="2:8" x14ac:dyDescent="0.2">
      <c r="B3084" s="87" t="str">
        <v/>
      </c>
      <c r="H3084" s="87" t="str">
        <v/>
      </c>
    </row>
    <row r="3085" spans="2:8" x14ac:dyDescent="0.2">
      <c r="B3085" s="87" t="str">
        <v/>
      </c>
      <c r="H3085" s="87" t="str">
        <v/>
      </c>
    </row>
    <row r="3086" spans="2:8" x14ac:dyDescent="0.2">
      <c r="B3086" s="87" t="str">
        <v/>
      </c>
      <c r="H3086" s="87" t="str">
        <v/>
      </c>
    </row>
    <row r="3087" spans="2:8" x14ac:dyDescent="0.2">
      <c r="B3087" s="87" t="str">
        <v/>
      </c>
      <c r="H3087" s="87" t="str">
        <v/>
      </c>
    </row>
    <row r="3088" spans="2:8" x14ac:dyDescent="0.2">
      <c r="B3088" s="87" t="str">
        <v/>
      </c>
      <c r="H3088" s="87" t="str">
        <v/>
      </c>
    </row>
    <row r="3089" spans="2:8" x14ac:dyDescent="0.2">
      <c r="B3089" s="87" t="str">
        <v/>
      </c>
      <c r="H3089" s="87" t="str">
        <v/>
      </c>
    </row>
    <row r="3090" spans="2:8" x14ac:dyDescent="0.2">
      <c r="B3090" s="87" t="str">
        <v/>
      </c>
      <c r="H3090" s="87" t="str">
        <v/>
      </c>
    </row>
    <row r="3091" spans="2:8" x14ac:dyDescent="0.2">
      <c r="B3091" s="87" t="str">
        <v/>
      </c>
      <c r="H3091" s="87" t="str">
        <v/>
      </c>
    </row>
    <row r="3092" spans="2:8" x14ac:dyDescent="0.2">
      <c r="B3092" s="87" t="str">
        <v/>
      </c>
      <c r="H3092" s="87" t="str">
        <v/>
      </c>
    </row>
    <row r="3093" spans="2:8" x14ac:dyDescent="0.2">
      <c r="B3093" s="87" t="str">
        <v/>
      </c>
      <c r="H3093" s="87" t="str">
        <v/>
      </c>
    </row>
    <row r="3094" spans="2:8" x14ac:dyDescent="0.2">
      <c r="B3094" s="87" t="str">
        <v/>
      </c>
      <c r="H3094" s="87" t="str">
        <v/>
      </c>
    </row>
    <row r="3095" spans="2:8" x14ac:dyDescent="0.2">
      <c r="B3095" s="87" t="str">
        <v/>
      </c>
      <c r="H3095" s="87" t="str">
        <v/>
      </c>
    </row>
    <row r="3096" spans="2:8" x14ac:dyDescent="0.2">
      <c r="B3096" s="87" t="str">
        <v/>
      </c>
      <c r="H3096" s="87" t="str">
        <v/>
      </c>
    </row>
    <row r="3097" spans="2:8" x14ac:dyDescent="0.2">
      <c r="B3097" s="87" t="str">
        <v/>
      </c>
      <c r="H3097" s="87" t="str">
        <v/>
      </c>
    </row>
    <row r="3098" spans="2:8" x14ac:dyDescent="0.2">
      <c r="B3098" s="87" t="str">
        <v/>
      </c>
      <c r="H3098" s="87" t="str">
        <v/>
      </c>
    </row>
    <row r="3099" spans="2:8" x14ac:dyDescent="0.2">
      <c r="B3099" s="87" t="str">
        <v/>
      </c>
      <c r="H3099" s="87" t="str">
        <v/>
      </c>
    </row>
    <row r="3100" spans="2:8" x14ac:dyDescent="0.2">
      <c r="B3100" s="87" t="str">
        <v/>
      </c>
      <c r="H3100" s="87" t="str">
        <v/>
      </c>
    </row>
    <row r="3101" spans="2:8" x14ac:dyDescent="0.2">
      <c r="B3101" s="87" t="str">
        <v/>
      </c>
      <c r="H3101" s="87" t="str">
        <v/>
      </c>
    </row>
    <row r="3102" spans="2:8" x14ac:dyDescent="0.2">
      <c r="B3102" s="87" t="str">
        <v/>
      </c>
      <c r="H3102" s="87" t="str">
        <v/>
      </c>
    </row>
    <row r="3103" spans="2:8" x14ac:dyDescent="0.2">
      <c r="B3103" s="87" t="str">
        <v/>
      </c>
      <c r="H3103" s="87" t="str">
        <v/>
      </c>
    </row>
    <row r="3104" spans="2:8" x14ac:dyDescent="0.2">
      <c r="B3104" s="87" t="str">
        <v/>
      </c>
      <c r="H3104" s="87" t="str">
        <v/>
      </c>
    </row>
    <row r="3105" spans="2:8" x14ac:dyDescent="0.2">
      <c r="B3105" s="87" t="str">
        <v/>
      </c>
      <c r="H3105" s="87" t="str">
        <v/>
      </c>
    </row>
    <row r="3106" spans="2:8" x14ac:dyDescent="0.2">
      <c r="B3106" s="87" t="str">
        <v/>
      </c>
      <c r="H3106" s="87" t="str">
        <v/>
      </c>
    </row>
    <row r="3107" spans="2:8" x14ac:dyDescent="0.2">
      <c r="B3107" s="87" t="str">
        <v/>
      </c>
      <c r="H3107" s="87" t="str">
        <v/>
      </c>
    </row>
    <row r="3108" spans="2:8" x14ac:dyDescent="0.2">
      <c r="B3108" s="87" t="str">
        <v/>
      </c>
      <c r="H3108" s="87" t="str">
        <v/>
      </c>
    </row>
    <row r="3109" spans="2:8" x14ac:dyDescent="0.2">
      <c r="B3109" s="87" t="str">
        <v/>
      </c>
      <c r="H3109" s="87" t="str">
        <v/>
      </c>
    </row>
    <row r="3110" spans="2:8" x14ac:dyDescent="0.2">
      <c r="B3110" s="87" t="str">
        <v/>
      </c>
      <c r="H3110" s="87" t="str">
        <v/>
      </c>
    </row>
    <row r="3111" spans="2:8" x14ac:dyDescent="0.2">
      <c r="B3111" s="87" t="str">
        <v/>
      </c>
      <c r="H3111" s="87" t="str">
        <v/>
      </c>
    </row>
    <row r="3112" spans="2:8" x14ac:dyDescent="0.2">
      <c r="B3112" s="87" t="str">
        <v/>
      </c>
      <c r="H3112" s="87" t="str">
        <v/>
      </c>
    </row>
    <row r="3113" spans="2:8" x14ac:dyDescent="0.2">
      <c r="B3113" s="87" t="str">
        <v/>
      </c>
      <c r="H3113" s="87" t="str">
        <v/>
      </c>
    </row>
    <row r="3114" spans="2:8" x14ac:dyDescent="0.2">
      <c r="B3114" s="87" t="str">
        <v/>
      </c>
      <c r="H3114" s="87" t="str">
        <v/>
      </c>
    </row>
    <row r="3115" spans="2:8" x14ac:dyDescent="0.2">
      <c r="B3115" s="87" t="str">
        <v/>
      </c>
      <c r="H3115" s="87" t="str">
        <v/>
      </c>
    </row>
    <row r="3116" spans="2:8" x14ac:dyDescent="0.2">
      <c r="B3116" s="87" t="str">
        <v/>
      </c>
      <c r="H3116" s="87" t="str">
        <v/>
      </c>
    </row>
    <row r="3117" spans="2:8" x14ac:dyDescent="0.2">
      <c r="B3117" s="87" t="str">
        <v/>
      </c>
      <c r="H3117" s="87" t="str">
        <v/>
      </c>
    </row>
    <row r="3118" spans="2:8" x14ac:dyDescent="0.2">
      <c r="B3118" s="87" t="str">
        <v/>
      </c>
      <c r="H3118" s="87" t="str">
        <v/>
      </c>
    </row>
    <row r="3119" spans="2:8" x14ac:dyDescent="0.2">
      <c r="B3119" s="87" t="str">
        <v/>
      </c>
      <c r="H3119" s="87" t="str">
        <v/>
      </c>
    </row>
    <row r="3120" spans="2:8" x14ac:dyDescent="0.2">
      <c r="B3120" s="87" t="str">
        <v/>
      </c>
      <c r="H3120" s="87" t="str">
        <v/>
      </c>
    </row>
    <row r="3121" spans="2:8" x14ac:dyDescent="0.2">
      <c r="B3121" s="87" t="str">
        <v/>
      </c>
      <c r="H3121" s="87" t="str">
        <v/>
      </c>
    </row>
    <row r="3122" spans="2:8" x14ac:dyDescent="0.2">
      <c r="B3122" s="87" t="str">
        <v/>
      </c>
      <c r="H3122" s="87" t="str">
        <v/>
      </c>
    </row>
    <row r="3123" spans="2:8" x14ac:dyDescent="0.2">
      <c r="B3123" s="87" t="str">
        <v/>
      </c>
      <c r="H3123" s="87" t="str">
        <v/>
      </c>
    </row>
    <row r="3124" spans="2:8" x14ac:dyDescent="0.2">
      <c r="B3124" s="87" t="str">
        <v/>
      </c>
      <c r="H3124" s="87" t="str">
        <v/>
      </c>
    </row>
    <row r="3125" spans="2:8" x14ac:dyDescent="0.2">
      <c r="B3125" s="87" t="str">
        <v/>
      </c>
      <c r="H3125" s="87" t="str">
        <v/>
      </c>
    </row>
    <row r="3126" spans="2:8" x14ac:dyDescent="0.2">
      <c r="B3126" s="87" t="str">
        <v/>
      </c>
      <c r="H3126" s="87" t="str">
        <v/>
      </c>
    </row>
    <row r="3127" spans="2:8" x14ac:dyDescent="0.2">
      <c r="B3127" s="87" t="str">
        <v/>
      </c>
      <c r="H3127" s="87" t="str">
        <v/>
      </c>
    </row>
    <row r="3128" spans="2:8" x14ac:dyDescent="0.2">
      <c r="B3128" s="87" t="str">
        <v/>
      </c>
      <c r="H3128" s="87" t="str">
        <v/>
      </c>
    </row>
    <row r="3129" spans="2:8" x14ac:dyDescent="0.2">
      <c r="B3129" s="87" t="str">
        <v/>
      </c>
      <c r="H3129" s="87" t="str">
        <v/>
      </c>
    </row>
    <row r="3130" spans="2:8" x14ac:dyDescent="0.2">
      <c r="B3130" s="87" t="str">
        <v/>
      </c>
      <c r="H3130" s="87" t="str">
        <v/>
      </c>
    </row>
    <row r="3131" spans="2:8" x14ac:dyDescent="0.2">
      <c r="B3131" s="87" t="str">
        <v/>
      </c>
      <c r="H3131" s="87" t="str">
        <v/>
      </c>
    </row>
    <row r="3132" spans="2:8" x14ac:dyDescent="0.2">
      <c r="B3132" s="87" t="str">
        <v/>
      </c>
      <c r="H3132" s="87" t="str">
        <v/>
      </c>
    </row>
    <row r="3133" spans="2:8" x14ac:dyDescent="0.2">
      <c r="B3133" s="87" t="str">
        <v/>
      </c>
      <c r="H3133" s="87" t="str">
        <v/>
      </c>
    </row>
    <row r="3134" spans="2:8" x14ac:dyDescent="0.2">
      <c r="B3134" s="87" t="str">
        <v/>
      </c>
      <c r="H3134" s="87" t="str">
        <v/>
      </c>
    </row>
    <row r="3135" spans="2:8" x14ac:dyDescent="0.2">
      <c r="B3135" s="87" t="str">
        <v/>
      </c>
      <c r="H3135" s="87" t="str">
        <v/>
      </c>
    </row>
    <row r="3136" spans="2:8" x14ac:dyDescent="0.2">
      <c r="B3136" s="87" t="str">
        <v/>
      </c>
      <c r="H3136" s="87" t="str">
        <v/>
      </c>
    </row>
    <row r="3137" spans="2:8" x14ac:dyDescent="0.2">
      <c r="B3137" s="87" t="str">
        <v/>
      </c>
      <c r="H3137" s="87" t="str">
        <v/>
      </c>
    </row>
    <row r="3138" spans="2:8" x14ac:dyDescent="0.2">
      <c r="B3138" s="87" t="str">
        <v/>
      </c>
      <c r="H3138" s="87" t="str">
        <v/>
      </c>
    </row>
    <row r="3139" spans="2:8" x14ac:dyDescent="0.2">
      <c r="B3139" s="87" t="str">
        <v/>
      </c>
      <c r="H3139" s="87" t="str">
        <v/>
      </c>
    </row>
    <row r="3140" spans="2:8" x14ac:dyDescent="0.2">
      <c r="B3140" s="87" t="str">
        <v/>
      </c>
      <c r="H3140" s="87" t="str">
        <v/>
      </c>
    </row>
    <row r="3141" spans="2:8" x14ac:dyDescent="0.2">
      <c r="B3141" s="87" t="str">
        <v/>
      </c>
      <c r="H3141" s="87" t="str">
        <v/>
      </c>
    </row>
    <row r="3142" spans="2:8" x14ac:dyDescent="0.2">
      <c r="B3142" s="87" t="str">
        <v/>
      </c>
      <c r="H3142" s="87" t="str">
        <v/>
      </c>
    </row>
    <row r="3143" spans="2:8" x14ac:dyDescent="0.2">
      <c r="B3143" s="87" t="str">
        <v/>
      </c>
      <c r="H3143" s="87" t="str">
        <v/>
      </c>
    </row>
    <row r="3144" spans="2:8" x14ac:dyDescent="0.2">
      <c r="B3144" s="87" t="str">
        <v/>
      </c>
      <c r="H3144" s="87" t="str">
        <v/>
      </c>
    </row>
    <row r="3145" spans="2:8" x14ac:dyDescent="0.2">
      <c r="B3145" s="87" t="str">
        <v/>
      </c>
      <c r="H3145" s="87" t="str">
        <v/>
      </c>
    </row>
    <row r="3146" spans="2:8" x14ac:dyDescent="0.2">
      <c r="B3146" s="87" t="str">
        <v/>
      </c>
      <c r="H3146" s="87" t="str">
        <v/>
      </c>
    </row>
    <row r="3147" spans="2:8" x14ac:dyDescent="0.2">
      <c r="B3147" s="87" t="str">
        <v/>
      </c>
      <c r="H3147" s="87" t="str">
        <v/>
      </c>
    </row>
    <row r="3148" spans="2:8" x14ac:dyDescent="0.2">
      <c r="B3148" s="87" t="str">
        <v/>
      </c>
      <c r="H3148" s="87" t="str">
        <v/>
      </c>
    </row>
    <row r="3149" spans="2:8" x14ac:dyDescent="0.2">
      <c r="B3149" s="87" t="str">
        <v/>
      </c>
      <c r="H3149" s="87" t="str">
        <v/>
      </c>
    </row>
    <row r="3150" spans="2:8" x14ac:dyDescent="0.2">
      <c r="B3150" s="87" t="str">
        <v/>
      </c>
      <c r="H3150" s="87" t="str">
        <v/>
      </c>
    </row>
    <row r="3151" spans="2:8" x14ac:dyDescent="0.2">
      <c r="B3151" s="87" t="str">
        <v/>
      </c>
      <c r="H3151" s="87" t="str">
        <v/>
      </c>
    </row>
    <row r="3152" spans="2:8" x14ac:dyDescent="0.2">
      <c r="B3152" s="87" t="str">
        <v/>
      </c>
      <c r="H3152" s="87" t="str">
        <v/>
      </c>
    </row>
    <row r="3153" spans="2:8" x14ac:dyDescent="0.2">
      <c r="B3153" s="87" t="str">
        <v/>
      </c>
      <c r="H3153" s="87" t="str">
        <v/>
      </c>
    </row>
    <row r="3154" spans="2:8" x14ac:dyDescent="0.2">
      <c r="B3154" s="87" t="str">
        <v/>
      </c>
      <c r="H3154" s="87" t="str">
        <v/>
      </c>
    </row>
    <row r="3155" spans="2:8" x14ac:dyDescent="0.2">
      <c r="B3155" s="87" t="str">
        <v/>
      </c>
      <c r="H3155" s="87" t="str">
        <v/>
      </c>
    </row>
    <row r="3156" spans="2:8" x14ac:dyDescent="0.2">
      <c r="B3156" s="87" t="str">
        <v/>
      </c>
      <c r="H3156" s="87" t="str">
        <v/>
      </c>
    </row>
    <row r="3157" spans="2:8" x14ac:dyDescent="0.2">
      <c r="B3157" s="87" t="str">
        <v/>
      </c>
      <c r="H3157" s="87" t="str">
        <v/>
      </c>
    </row>
    <row r="3158" spans="2:8" x14ac:dyDescent="0.2">
      <c r="B3158" s="87" t="str">
        <v/>
      </c>
      <c r="H3158" s="87" t="str">
        <v/>
      </c>
    </row>
    <row r="3159" spans="2:8" x14ac:dyDescent="0.2">
      <c r="B3159" s="87" t="str">
        <v/>
      </c>
      <c r="H3159" s="87" t="str">
        <v/>
      </c>
    </row>
    <row r="3160" spans="2:8" x14ac:dyDescent="0.2">
      <c r="B3160" s="87" t="str">
        <v/>
      </c>
      <c r="H3160" s="87" t="str">
        <v/>
      </c>
    </row>
    <row r="3161" spans="2:8" x14ac:dyDescent="0.2">
      <c r="B3161" s="87" t="str">
        <v/>
      </c>
      <c r="H3161" s="87" t="str">
        <v/>
      </c>
    </row>
    <row r="3162" spans="2:8" x14ac:dyDescent="0.2">
      <c r="B3162" s="87" t="str">
        <v/>
      </c>
      <c r="H3162" s="87" t="str">
        <v/>
      </c>
    </row>
    <row r="3163" spans="2:8" x14ac:dyDescent="0.2">
      <c r="B3163" s="87" t="str">
        <v/>
      </c>
      <c r="H3163" s="87" t="str">
        <v/>
      </c>
    </row>
    <row r="3164" spans="2:8" x14ac:dyDescent="0.2">
      <c r="B3164" s="87" t="str">
        <v/>
      </c>
      <c r="H3164" s="87" t="str">
        <v/>
      </c>
    </row>
    <row r="3165" spans="2:8" x14ac:dyDescent="0.2">
      <c r="B3165" s="87" t="str">
        <v/>
      </c>
      <c r="H3165" s="87" t="str">
        <v/>
      </c>
    </row>
    <row r="3166" spans="2:8" x14ac:dyDescent="0.2">
      <c r="B3166" s="87" t="str">
        <v/>
      </c>
      <c r="H3166" s="87" t="str">
        <v/>
      </c>
    </row>
    <row r="3167" spans="2:8" x14ac:dyDescent="0.2">
      <c r="B3167" s="87" t="str">
        <v/>
      </c>
      <c r="H3167" s="87" t="str">
        <v/>
      </c>
    </row>
    <row r="3168" spans="2:8" x14ac:dyDescent="0.2">
      <c r="B3168" s="87" t="str">
        <v/>
      </c>
      <c r="H3168" s="87" t="str">
        <v/>
      </c>
    </row>
    <row r="3169" spans="2:8" x14ac:dyDescent="0.2">
      <c r="B3169" s="87" t="str">
        <v/>
      </c>
      <c r="H3169" s="87" t="str">
        <v/>
      </c>
    </row>
    <row r="3170" spans="2:8" x14ac:dyDescent="0.2">
      <c r="B3170" s="87" t="str">
        <v/>
      </c>
      <c r="H3170" s="87" t="str">
        <v/>
      </c>
    </row>
    <row r="3171" spans="2:8" x14ac:dyDescent="0.2">
      <c r="B3171" s="87" t="str">
        <v/>
      </c>
      <c r="H3171" s="87" t="str">
        <v/>
      </c>
    </row>
    <row r="3172" spans="2:8" x14ac:dyDescent="0.2">
      <c r="B3172" s="87" t="str">
        <v/>
      </c>
      <c r="H3172" s="87" t="str">
        <v/>
      </c>
    </row>
    <row r="3173" spans="2:8" x14ac:dyDescent="0.2">
      <c r="B3173" s="87" t="str">
        <v/>
      </c>
      <c r="H3173" s="87" t="str">
        <v/>
      </c>
    </row>
    <row r="3174" spans="2:8" x14ac:dyDescent="0.2">
      <c r="B3174" s="87" t="str">
        <v/>
      </c>
      <c r="H3174" s="87" t="str">
        <v/>
      </c>
    </row>
    <row r="3175" spans="2:8" x14ac:dyDescent="0.2">
      <c r="B3175" s="87" t="str">
        <v/>
      </c>
      <c r="H3175" s="87" t="str">
        <v/>
      </c>
    </row>
    <row r="3176" spans="2:8" x14ac:dyDescent="0.2">
      <c r="B3176" s="87" t="str">
        <v/>
      </c>
      <c r="H3176" s="87" t="str">
        <v/>
      </c>
    </row>
    <row r="3177" spans="2:8" x14ac:dyDescent="0.2">
      <c r="B3177" s="87" t="str">
        <v/>
      </c>
      <c r="H3177" s="87" t="str">
        <v/>
      </c>
    </row>
    <row r="3178" spans="2:8" x14ac:dyDescent="0.2">
      <c r="B3178" s="87" t="str">
        <v/>
      </c>
      <c r="H3178" s="87" t="str">
        <v/>
      </c>
    </row>
    <row r="3179" spans="2:8" x14ac:dyDescent="0.2">
      <c r="B3179" s="87" t="str">
        <v/>
      </c>
      <c r="H3179" s="87" t="str">
        <v/>
      </c>
    </row>
    <row r="3180" spans="2:8" x14ac:dyDescent="0.2">
      <c r="B3180" s="87" t="str">
        <v/>
      </c>
      <c r="H3180" s="87" t="str">
        <v/>
      </c>
    </row>
    <row r="3181" spans="2:8" x14ac:dyDescent="0.2">
      <c r="B3181" s="87" t="str">
        <v/>
      </c>
      <c r="H3181" s="87" t="str">
        <v/>
      </c>
    </row>
    <row r="3182" spans="2:8" x14ac:dyDescent="0.2">
      <c r="B3182" s="87" t="str">
        <v/>
      </c>
      <c r="H3182" s="87" t="str">
        <v/>
      </c>
    </row>
    <row r="3183" spans="2:8" x14ac:dyDescent="0.2">
      <c r="B3183" s="87" t="str">
        <v/>
      </c>
      <c r="H3183" s="87" t="str">
        <v/>
      </c>
    </row>
    <row r="3184" spans="2:8" x14ac:dyDescent="0.2">
      <c r="B3184" s="87" t="str">
        <v/>
      </c>
      <c r="H3184" s="87" t="str">
        <v/>
      </c>
    </row>
    <row r="3185" spans="2:8" x14ac:dyDescent="0.2">
      <c r="B3185" s="87" t="str">
        <v/>
      </c>
      <c r="H3185" s="87" t="str">
        <v/>
      </c>
    </row>
    <row r="3186" spans="2:8" x14ac:dyDescent="0.2">
      <c r="B3186" s="87" t="str">
        <v/>
      </c>
      <c r="H3186" s="87" t="str">
        <v/>
      </c>
    </row>
    <row r="3187" spans="2:8" x14ac:dyDescent="0.2">
      <c r="B3187" s="87" t="str">
        <v/>
      </c>
      <c r="H3187" s="87" t="str">
        <v/>
      </c>
    </row>
    <row r="3188" spans="2:8" x14ac:dyDescent="0.2">
      <c r="B3188" s="87" t="str">
        <v/>
      </c>
      <c r="H3188" s="87" t="str">
        <v/>
      </c>
    </row>
    <row r="3189" spans="2:8" x14ac:dyDescent="0.2">
      <c r="B3189" s="87" t="str">
        <v/>
      </c>
      <c r="H3189" s="87" t="str">
        <v/>
      </c>
    </row>
    <row r="3190" spans="2:8" x14ac:dyDescent="0.2">
      <c r="B3190" s="87" t="str">
        <v/>
      </c>
      <c r="H3190" s="87" t="str">
        <v/>
      </c>
    </row>
    <row r="3191" spans="2:8" x14ac:dyDescent="0.2">
      <c r="B3191" s="87" t="str">
        <v/>
      </c>
      <c r="H3191" s="87" t="str">
        <v/>
      </c>
    </row>
    <row r="3192" spans="2:8" x14ac:dyDescent="0.2">
      <c r="B3192" s="87" t="str">
        <v/>
      </c>
      <c r="H3192" s="87" t="str">
        <v/>
      </c>
    </row>
    <row r="3193" spans="2:8" x14ac:dyDescent="0.2">
      <c r="B3193" s="87" t="str">
        <v/>
      </c>
      <c r="H3193" s="87" t="str">
        <v/>
      </c>
    </row>
    <row r="3194" spans="2:8" x14ac:dyDescent="0.2">
      <c r="B3194" s="87" t="str">
        <v/>
      </c>
      <c r="H3194" s="87" t="str">
        <v/>
      </c>
    </row>
    <row r="3195" spans="2:8" x14ac:dyDescent="0.2">
      <c r="B3195" s="87" t="str">
        <v/>
      </c>
      <c r="H3195" s="87" t="str">
        <v/>
      </c>
    </row>
    <row r="3196" spans="2:8" x14ac:dyDescent="0.2">
      <c r="B3196" s="87" t="str">
        <v/>
      </c>
      <c r="H3196" s="87" t="str">
        <v/>
      </c>
    </row>
    <row r="3197" spans="2:8" x14ac:dyDescent="0.2">
      <c r="B3197" s="87" t="str">
        <v/>
      </c>
      <c r="H3197" s="87" t="str">
        <v/>
      </c>
    </row>
    <row r="3198" spans="2:8" x14ac:dyDescent="0.2">
      <c r="B3198" s="87" t="str">
        <v/>
      </c>
      <c r="H3198" s="87" t="str">
        <v/>
      </c>
    </row>
    <row r="3199" spans="2:8" x14ac:dyDescent="0.2">
      <c r="B3199" s="87" t="str">
        <v/>
      </c>
      <c r="H3199" s="87" t="str">
        <v/>
      </c>
    </row>
    <row r="3200" spans="2:8" x14ac:dyDescent="0.2">
      <c r="B3200" s="87" t="str">
        <v/>
      </c>
      <c r="H3200" s="87" t="str">
        <v/>
      </c>
    </row>
    <row r="3201" spans="2:8" x14ac:dyDescent="0.2">
      <c r="B3201" s="87" t="str">
        <v/>
      </c>
      <c r="H3201" s="87" t="str">
        <v/>
      </c>
    </row>
    <row r="3202" spans="2:8" x14ac:dyDescent="0.2">
      <c r="B3202" s="87" t="str">
        <v/>
      </c>
      <c r="H3202" s="87" t="str">
        <v/>
      </c>
    </row>
    <row r="3203" spans="2:8" x14ac:dyDescent="0.2">
      <c r="B3203" s="87" t="str">
        <v/>
      </c>
      <c r="H3203" s="87" t="str">
        <v/>
      </c>
    </row>
    <row r="3204" spans="2:8" x14ac:dyDescent="0.2">
      <c r="B3204" s="87" t="str">
        <v/>
      </c>
      <c r="H3204" s="87" t="str">
        <v/>
      </c>
    </row>
    <row r="3205" spans="2:8" x14ac:dyDescent="0.2">
      <c r="B3205" s="87" t="str">
        <v/>
      </c>
      <c r="H3205" s="87" t="str">
        <v/>
      </c>
    </row>
    <row r="3206" spans="2:8" x14ac:dyDescent="0.2">
      <c r="B3206" s="87" t="str">
        <v/>
      </c>
      <c r="H3206" s="87" t="str">
        <v/>
      </c>
    </row>
    <row r="3207" spans="2:8" x14ac:dyDescent="0.2">
      <c r="B3207" s="87" t="str">
        <v/>
      </c>
      <c r="H3207" s="87" t="str">
        <v/>
      </c>
    </row>
    <row r="3208" spans="2:8" x14ac:dyDescent="0.2">
      <c r="B3208" s="87" t="str">
        <v/>
      </c>
      <c r="H3208" s="87" t="str">
        <v/>
      </c>
    </row>
    <row r="3209" spans="2:8" x14ac:dyDescent="0.2">
      <c r="B3209" s="87" t="str">
        <v/>
      </c>
      <c r="H3209" s="87" t="str">
        <v/>
      </c>
    </row>
    <row r="3210" spans="2:8" x14ac:dyDescent="0.2">
      <c r="B3210" s="87" t="str">
        <v/>
      </c>
      <c r="H3210" s="87" t="str">
        <v/>
      </c>
    </row>
    <row r="3211" spans="2:8" x14ac:dyDescent="0.2">
      <c r="B3211" s="87" t="str">
        <v/>
      </c>
      <c r="H3211" s="87" t="str">
        <v/>
      </c>
    </row>
    <row r="3212" spans="2:8" x14ac:dyDescent="0.2">
      <c r="B3212" s="87" t="str">
        <v/>
      </c>
      <c r="H3212" s="87" t="str">
        <v/>
      </c>
    </row>
    <row r="3213" spans="2:8" x14ac:dyDescent="0.2">
      <c r="B3213" s="87" t="str">
        <v/>
      </c>
      <c r="H3213" s="87" t="str">
        <v/>
      </c>
    </row>
    <row r="3214" spans="2:8" x14ac:dyDescent="0.2">
      <c r="B3214" s="87" t="str">
        <v/>
      </c>
      <c r="H3214" s="87" t="str">
        <v/>
      </c>
    </row>
    <row r="3215" spans="2:8" x14ac:dyDescent="0.2">
      <c r="B3215" s="87" t="str">
        <v/>
      </c>
      <c r="H3215" s="87" t="str">
        <v/>
      </c>
    </row>
    <row r="3216" spans="2:8" x14ac:dyDescent="0.2">
      <c r="B3216" s="87" t="str">
        <v/>
      </c>
      <c r="H3216" s="87" t="str">
        <v/>
      </c>
    </row>
    <row r="3217" spans="2:8" x14ac:dyDescent="0.2">
      <c r="B3217" s="87" t="str">
        <v/>
      </c>
      <c r="H3217" s="87" t="str">
        <v/>
      </c>
    </row>
    <row r="3218" spans="2:8" x14ac:dyDescent="0.2">
      <c r="B3218" s="87" t="str">
        <v/>
      </c>
      <c r="H3218" s="87" t="str">
        <v/>
      </c>
    </row>
    <row r="3219" spans="2:8" x14ac:dyDescent="0.2">
      <c r="B3219" s="87" t="str">
        <v/>
      </c>
      <c r="H3219" s="87" t="str">
        <v/>
      </c>
    </row>
    <row r="3220" spans="2:8" x14ac:dyDescent="0.2">
      <c r="B3220" s="87" t="str">
        <v/>
      </c>
      <c r="H3220" s="87" t="str">
        <v/>
      </c>
    </row>
    <row r="3221" spans="2:8" x14ac:dyDescent="0.2">
      <c r="B3221" s="87" t="str">
        <v/>
      </c>
      <c r="H3221" s="87" t="str">
        <v/>
      </c>
    </row>
    <row r="3222" spans="2:8" x14ac:dyDescent="0.2">
      <c r="B3222" s="87" t="str">
        <v/>
      </c>
      <c r="H3222" s="87" t="str">
        <v/>
      </c>
    </row>
    <row r="3223" spans="2:8" x14ac:dyDescent="0.2">
      <c r="B3223" s="87" t="str">
        <v/>
      </c>
      <c r="H3223" s="87" t="str">
        <v/>
      </c>
    </row>
    <row r="3224" spans="2:8" x14ac:dyDescent="0.2">
      <c r="B3224" s="87" t="str">
        <v/>
      </c>
      <c r="H3224" s="87" t="str">
        <v/>
      </c>
    </row>
    <row r="3225" spans="2:8" x14ac:dyDescent="0.2">
      <c r="B3225" s="87" t="str">
        <v/>
      </c>
      <c r="H3225" s="87" t="str">
        <v/>
      </c>
    </row>
    <row r="3226" spans="2:8" x14ac:dyDescent="0.2">
      <c r="B3226" s="87" t="str">
        <v/>
      </c>
      <c r="H3226" s="87" t="str">
        <v/>
      </c>
    </row>
    <row r="3227" spans="2:8" x14ac:dyDescent="0.2">
      <c r="B3227" s="87" t="str">
        <v/>
      </c>
      <c r="H3227" s="87" t="str">
        <v/>
      </c>
    </row>
    <row r="3228" spans="2:8" x14ac:dyDescent="0.2">
      <c r="B3228" s="87" t="str">
        <v/>
      </c>
      <c r="H3228" s="87" t="str">
        <v/>
      </c>
    </row>
    <row r="3229" spans="2:8" x14ac:dyDescent="0.2">
      <c r="B3229" s="87" t="str">
        <v/>
      </c>
      <c r="H3229" s="87" t="str">
        <v/>
      </c>
    </row>
    <row r="3230" spans="2:8" x14ac:dyDescent="0.2">
      <c r="B3230" s="87" t="str">
        <v/>
      </c>
      <c r="H3230" s="87" t="str">
        <v/>
      </c>
    </row>
    <row r="3231" spans="2:8" x14ac:dyDescent="0.2">
      <c r="B3231" s="87" t="str">
        <v/>
      </c>
      <c r="H3231" s="87" t="str">
        <v/>
      </c>
    </row>
    <row r="3232" spans="2:8" x14ac:dyDescent="0.2">
      <c r="B3232" s="87" t="str">
        <v/>
      </c>
      <c r="H3232" s="87" t="str">
        <v/>
      </c>
    </row>
    <row r="3233" spans="2:8" x14ac:dyDescent="0.2">
      <c r="B3233" s="87" t="str">
        <v/>
      </c>
      <c r="H3233" s="87" t="str">
        <v/>
      </c>
    </row>
    <row r="3234" spans="2:8" x14ac:dyDescent="0.2">
      <c r="B3234" s="87" t="str">
        <v/>
      </c>
      <c r="H3234" s="87" t="str">
        <v/>
      </c>
    </row>
    <row r="3235" spans="2:8" x14ac:dyDescent="0.2">
      <c r="B3235" s="87" t="str">
        <v/>
      </c>
      <c r="H3235" s="87" t="str">
        <v/>
      </c>
    </row>
    <row r="3236" spans="2:8" x14ac:dyDescent="0.2">
      <c r="B3236" s="87" t="str">
        <v/>
      </c>
      <c r="H3236" s="87" t="str">
        <v/>
      </c>
    </row>
    <row r="3237" spans="2:8" x14ac:dyDescent="0.2">
      <c r="B3237" s="87" t="str">
        <v/>
      </c>
      <c r="H3237" s="87" t="str">
        <v/>
      </c>
    </row>
    <row r="3238" spans="2:8" x14ac:dyDescent="0.2">
      <c r="B3238" s="87" t="str">
        <v/>
      </c>
      <c r="H3238" s="87" t="str">
        <v/>
      </c>
    </row>
    <row r="3239" spans="2:8" x14ac:dyDescent="0.2">
      <c r="B3239" s="87" t="str">
        <v/>
      </c>
      <c r="H3239" s="87" t="str">
        <v/>
      </c>
    </row>
    <row r="3240" spans="2:8" x14ac:dyDescent="0.2">
      <c r="B3240" s="87" t="str">
        <v/>
      </c>
      <c r="H3240" s="87" t="str">
        <v/>
      </c>
    </row>
    <row r="3241" spans="2:8" x14ac:dyDescent="0.2">
      <c r="B3241" s="87" t="str">
        <v/>
      </c>
      <c r="H3241" s="87" t="str">
        <v/>
      </c>
    </row>
    <row r="3242" spans="2:8" x14ac:dyDescent="0.2">
      <c r="B3242" s="87" t="str">
        <v/>
      </c>
      <c r="H3242" s="87" t="str">
        <v/>
      </c>
    </row>
    <row r="3243" spans="2:8" x14ac:dyDescent="0.2">
      <c r="B3243" s="87" t="str">
        <v/>
      </c>
      <c r="H3243" s="87" t="str">
        <v/>
      </c>
    </row>
    <row r="3244" spans="2:8" x14ac:dyDescent="0.2">
      <c r="B3244" s="87" t="str">
        <v/>
      </c>
      <c r="H3244" s="87" t="str">
        <v/>
      </c>
    </row>
    <row r="3245" spans="2:8" x14ac:dyDescent="0.2">
      <c r="B3245" s="87" t="str">
        <v/>
      </c>
      <c r="H3245" s="87" t="str">
        <v/>
      </c>
    </row>
    <row r="3246" spans="2:8" x14ac:dyDescent="0.2">
      <c r="B3246" s="87" t="str">
        <v/>
      </c>
      <c r="H3246" s="87" t="str">
        <v/>
      </c>
    </row>
    <row r="3247" spans="2:8" x14ac:dyDescent="0.2">
      <c r="B3247" s="87" t="str">
        <v/>
      </c>
      <c r="H3247" s="87" t="str">
        <v/>
      </c>
    </row>
    <row r="3248" spans="2:8" x14ac:dyDescent="0.2">
      <c r="B3248" s="87" t="str">
        <v/>
      </c>
      <c r="H3248" s="87" t="str">
        <v/>
      </c>
    </row>
    <row r="3249" spans="2:8" x14ac:dyDescent="0.2">
      <c r="B3249" s="87" t="str">
        <v/>
      </c>
      <c r="H3249" s="87" t="str">
        <v/>
      </c>
    </row>
    <row r="3250" spans="2:8" x14ac:dyDescent="0.2">
      <c r="B3250" s="87" t="str">
        <v/>
      </c>
      <c r="H3250" s="87" t="str">
        <v/>
      </c>
    </row>
    <row r="3251" spans="2:8" x14ac:dyDescent="0.2">
      <c r="B3251" s="87" t="str">
        <v/>
      </c>
      <c r="H3251" s="87" t="str">
        <v/>
      </c>
    </row>
    <row r="3252" spans="2:8" x14ac:dyDescent="0.2">
      <c r="B3252" s="87" t="str">
        <v/>
      </c>
      <c r="H3252" s="87" t="str">
        <v/>
      </c>
    </row>
    <row r="3253" spans="2:8" x14ac:dyDescent="0.2">
      <c r="B3253" s="87" t="str">
        <v/>
      </c>
      <c r="H3253" s="87" t="str">
        <v/>
      </c>
    </row>
    <row r="3254" spans="2:8" x14ac:dyDescent="0.2">
      <c r="B3254" s="87" t="str">
        <v/>
      </c>
      <c r="H3254" s="87" t="str">
        <v/>
      </c>
    </row>
    <row r="3255" spans="2:8" x14ac:dyDescent="0.2">
      <c r="B3255" s="87" t="str">
        <v/>
      </c>
      <c r="H3255" s="87" t="str">
        <v/>
      </c>
    </row>
    <row r="3256" spans="2:8" x14ac:dyDescent="0.2">
      <c r="B3256" s="87" t="str">
        <v/>
      </c>
      <c r="H3256" s="87" t="str">
        <v/>
      </c>
    </row>
    <row r="3257" spans="2:8" x14ac:dyDescent="0.2">
      <c r="B3257" s="87" t="str">
        <v/>
      </c>
      <c r="H3257" s="87" t="str">
        <v/>
      </c>
    </row>
    <row r="3258" spans="2:8" x14ac:dyDescent="0.2">
      <c r="B3258" s="87" t="str">
        <v/>
      </c>
      <c r="H3258" s="87" t="str">
        <v/>
      </c>
    </row>
    <row r="3259" spans="2:8" x14ac:dyDescent="0.2">
      <c r="B3259" s="87" t="str">
        <v/>
      </c>
      <c r="H3259" s="87" t="str">
        <v/>
      </c>
    </row>
    <row r="3260" spans="2:8" x14ac:dyDescent="0.2">
      <c r="B3260" s="87" t="str">
        <v/>
      </c>
      <c r="H3260" s="87" t="str">
        <v/>
      </c>
    </row>
    <row r="3261" spans="2:8" x14ac:dyDescent="0.2">
      <c r="B3261" s="87" t="str">
        <v/>
      </c>
      <c r="H3261" s="87" t="str">
        <v/>
      </c>
    </row>
    <row r="3262" spans="2:8" x14ac:dyDescent="0.2">
      <c r="B3262" s="87" t="str">
        <v/>
      </c>
      <c r="H3262" s="87" t="str">
        <v/>
      </c>
    </row>
    <row r="3263" spans="2:8" x14ac:dyDescent="0.2">
      <c r="B3263" s="87" t="str">
        <v/>
      </c>
      <c r="H3263" s="87" t="str">
        <v/>
      </c>
    </row>
    <row r="3264" spans="2:8" x14ac:dyDescent="0.2">
      <c r="B3264" s="87" t="str">
        <v/>
      </c>
      <c r="H3264" s="87" t="str">
        <v/>
      </c>
    </row>
    <row r="3265" spans="2:8" x14ac:dyDescent="0.2">
      <c r="B3265" s="87" t="str">
        <v/>
      </c>
      <c r="H3265" s="87" t="str">
        <v/>
      </c>
    </row>
    <row r="3266" spans="2:8" x14ac:dyDescent="0.2">
      <c r="B3266" s="87" t="str">
        <v/>
      </c>
      <c r="H3266" s="87" t="str">
        <v/>
      </c>
    </row>
    <row r="3267" spans="2:8" x14ac:dyDescent="0.2">
      <c r="B3267" s="87" t="str">
        <v/>
      </c>
      <c r="H3267" s="87" t="str">
        <v/>
      </c>
    </row>
    <row r="3268" spans="2:8" x14ac:dyDescent="0.2">
      <c r="B3268" s="87" t="str">
        <v/>
      </c>
      <c r="H3268" s="87" t="str">
        <v/>
      </c>
    </row>
    <row r="3269" spans="2:8" x14ac:dyDescent="0.2">
      <c r="B3269" s="87" t="str">
        <v/>
      </c>
      <c r="H3269" s="87" t="str">
        <v/>
      </c>
    </row>
    <row r="3270" spans="2:8" x14ac:dyDescent="0.2">
      <c r="B3270" s="87" t="str">
        <v/>
      </c>
      <c r="H3270" s="87" t="str">
        <v/>
      </c>
    </row>
    <row r="3271" spans="2:8" x14ac:dyDescent="0.2">
      <c r="B3271" s="87" t="str">
        <v/>
      </c>
      <c r="H3271" s="87" t="str">
        <v/>
      </c>
    </row>
    <row r="3272" spans="2:8" x14ac:dyDescent="0.2">
      <c r="B3272" s="87" t="str">
        <v/>
      </c>
      <c r="H3272" s="87" t="str">
        <v/>
      </c>
    </row>
    <row r="3273" spans="2:8" x14ac:dyDescent="0.2">
      <c r="B3273" s="87" t="str">
        <v/>
      </c>
      <c r="H3273" s="87" t="str">
        <v/>
      </c>
    </row>
    <row r="3274" spans="2:8" x14ac:dyDescent="0.2">
      <c r="B3274" s="87" t="str">
        <v/>
      </c>
      <c r="H3274" s="87" t="str">
        <v/>
      </c>
    </row>
    <row r="3275" spans="2:8" x14ac:dyDescent="0.2">
      <c r="B3275" s="87" t="str">
        <v/>
      </c>
      <c r="H3275" s="87" t="str">
        <v/>
      </c>
    </row>
    <row r="3276" spans="2:8" x14ac:dyDescent="0.2">
      <c r="B3276" s="87" t="str">
        <v/>
      </c>
      <c r="H3276" s="87" t="str">
        <v/>
      </c>
    </row>
    <row r="3277" spans="2:8" x14ac:dyDescent="0.2">
      <c r="B3277" s="87" t="str">
        <v/>
      </c>
      <c r="H3277" s="87" t="str">
        <v/>
      </c>
    </row>
    <row r="3278" spans="2:8" x14ac:dyDescent="0.2">
      <c r="B3278" s="87" t="str">
        <v/>
      </c>
      <c r="H3278" s="87" t="str">
        <v/>
      </c>
    </row>
    <row r="3279" spans="2:8" x14ac:dyDescent="0.2">
      <c r="B3279" s="87" t="str">
        <v/>
      </c>
      <c r="H3279" s="87" t="str">
        <v/>
      </c>
    </row>
    <row r="3280" spans="2:8" x14ac:dyDescent="0.2">
      <c r="B3280" s="87" t="str">
        <v/>
      </c>
      <c r="H3280" s="87" t="str">
        <v/>
      </c>
    </row>
    <row r="3281" spans="2:8" x14ac:dyDescent="0.2">
      <c r="B3281" s="87" t="str">
        <v/>
      </c>
      <c r="H3281" s="87" t="str">
        <v/>
      </c>
    </row>
    <row r="3282" spans="2:8" x14ac:dyDescent="0.2">
      <c r="B3282" s="87" t="str">
        <v/>
      </c>
      <c r="H3282" s="87" t="str">
        <v/>
      </c>
    </row>
    <row r="3283" spans="2:8" x14ac:dyDescent="0.2">
      <c r="B3283" s="87" t="str">
        <v/>
      </c>
      <c r="H3283" s="87" t="str">
        <v/>
      </c>
    </row>
    <row r="3284" spans="2:8" x14ac:dyDescent="0.2">
      <c r="B3284" s="87" t="str">
        <v/>
      </c>
      <c r="H3284" s="87" t="str">
        <v/>
      </c>
    </row>
    <row r="3285" spans="2:8" x14ac:dyDescent="0.2">
      <c r="B3285" s="87" t="str">
        <v/>
      </c>
      <c r="H3285" s="87" t="str">
        <v/>
      </c>
    </row>
    <row r="3286" spans="2:8" x14ac:dyDescent="0.2">
      <c r="B3286" s="87" t="str">
        <v/>
      </c>
      <c r="H3286" s="87" t="str">
        <v/>
      </c>
    </row>
    <row r="3287" spans="2:8" x14ac:dyDescent="0.2">
      <c r="B3287" s="87" t="str">
        <v/>
      </c>
      <c r="H3287" s="87" t="str">
        <v/>
      </c>
    </row>
    <row r="3288" spans="2:8" x14ac:dyDescent="0.2">
      <c r="B3288" s="87" t="str">
        <v/>
      </c>
      <c r="H3288" s="87" t="str">
        <v/>
      </c>
    </row>
    <row r="3289" spans="2:8" x14ac:dyDescent="0.2">
      <c r="B3289" s="87" t="str">
        <v/>
      </c>
      <c r="H3289" s="87" t="str">
        <v/>
      </c>
    </row>
    <row r="3290" spans="2:8" x14ac:dyDescent="0.2">
      <c r="B3290" s="87" t="str">
        <v/>
      </c>
      <c r="H3290" s="87" t="str">
        <v/>
      </c>
    </row>
    <row r="3291" spans="2:8" x14ac:dyDescent="0.2">
      <c r="B3291" s="87" t="str">
        <v/>
      </c>
      <c r="H3291" s="87" t="str">
        <v/>
      </c>
    </row>
    <row r="3292" spans="2:8" x14ac:dyDescent="0.2">
      <c r="B3292" s="87" t="str">
        <v/>
      </c>
      <c r="H3292" s="87" t="str">
        <v/>
      </c>
    </row>
    <row r="3293" spans="2:8" x14ac:dyDescent="0.2">
      <c r="B3293" s="87" t="str">
        <v/>
      </c>
      <c r="H3293" s="87" t="str">
        <v/>
      </c>
    </row>
    <row r="3294" spans="2:8" x14ac:dyDescent="0.2">
      <c r="B3294" s="87" t="str">
        <v/>
      </c>
      <c r="H3294" s="87" t="str">
        <v/>
      </c>
    </row>
    <row r="3295" spans="2:8" x14ac:dyDescent="0.2">
      <c r="B3295" s="87" t="str">
        <v/>
      </c>
      <c r="H3295" s="87" t="str">
        <v/>
      </c>
    </row>
    <row r="3296" spans="2:8" x14ac:dyDescent="0.2">
      <c r="B3296" s="87" t="str">
        <v/>
      </c>
      <c r="H3296" s="87" t="str">
        <v/>
      </c>
    </row>
    <row r="3297" spans="2:8" x14ac:dyDescent="0.2">
      <c r="B3297" s="87" t="str">
        <v/>
      </c>
      <c r="H3297" s="87" t="str">
        <v/>
      </c>
    </row>
    <row r="3298" spans="2:8" x14ac:dyDescent="0.2">
      <c r="B3298" s="87" t="str">
        <v/>
      </c>
      <c r="H3298" s="87" t="str">
        <v/>
      </c>
    </row>
    <row r="3299" spans="2:8" x14ac:dyDescent="0.2">
      <c r="B3299" s="87" t="str">
        <v/>
      </c>
      <c r="H3299" s="87" t="str">
        <v/>
      </c>
    </row>
    <row r="3300" spans="2:8" x14ac:dyDescent="0.2">
      <c r="B3300" s="87" t="str">
        <v/>
      </c>
      <c r="H3300" s="87" t="str">
        <v/>
      </c>
    </row>
    <row r="3301" spans="2:8" x14ac:dyDescent="0.2">
      <c r="B3301" s="87" t="str">
        <v/>
      </c>
      <c r="H3301" s="87" t="str">
        <v/>
      </c>
    </row>
    <row r="3302" spans="2:8" x14ac:dyDescent="0.2">
      <c r="B3302" s="87" t="str">
        <v/>
      </c>
      <c r="H3302" s="87" t="str">
        <v/>
      </c>
    </row>
    <row r="3303" spans="2:8" x14ac:dyDescent="0.2">
      <c r="B3303" s="87" t="str">
        <v/>
      </c>
      <c r="H3303" s="87" t="str">
        <v/>
      </c>
    </row>
    <row r="3304" spans="2:8" x14ac:dyDescent="0.2">
      <c r="B3304" s="87" t="str">
        <v/>
      </c>
      <c r="H3304" s="87" t="str">
        <v/>
      </c>
    </row>
    <row r="3305" spans="2:8" x14ac:dyDescent="0.2">
      <c r="B3305" s="87" t="str">
        <v/>
      </c>
      <c r="H3305" s="87" t="str">
        <v/>
      </c>
    </row>
    <row r="3306" spans="2:8" x14ac:dyDescent="0.2">
      <c r="B3306" s="87" t="str">
        <v/>
      </c>
      <c r="H3306" s="87" t="str">
        <v/>
      </c>
    </row>
    <row r="3307" spans="2:8" x14ac:dyDescent="0.2">
      <c r="B3307" s="87" t="str">
        <v/>
      </c>
      <c r="H3307" s="87" t="str">
        <v/>
      </c>
    </row>
    <row r="3308" spans="2:8" x14ac:dyDescent="0.2">
      <c r="B3308" s="87" t="str">
        <v/>
      </c>
      <c r="H3308" s="87" t="str">
        <v/>
      </c>
    </row>
    <row r="3309" spans="2:8" x14ac:dyDescent="0.2">
      <c r="B3309" s="87" t="str">
        <v/>
      </c>
      <c r="H3309" s="87" t="str">
        <v/>
      </c>
    </row>
    <row r="3310" spans="2:8" x14ac:dyDescent="0.2">
      <c r="B3310" s="87" t="str">
        <v/>
      </c>
      <c r="H3310" s="87" t="str">
        <v/>
      </c>
    </row>
    <row r="3311" spans="2:8" x14ac:dyDescent="0.2">
      <c r="B3311" s="87" t="str">
        <v/>
      </c>
      <c r="H3311" s="87" t="str">
        <v/>
      </c>
    </row>
    <row r="3312" spans="2:8" x14ac:dyDescent="0.2">
      <c r="B3312" s="87" t="str">
        <v/>
      </c>
      <c r="H3312" s="87" t="str">
        <v/>
      </c>
    </row>
    <row r="3313" spans="2:8" x14ac:dyDescent="0.2">
      <c r="B3313" s="87" t="str">
        <v/>
      </c>
      <c r="H3313" s="87" t="str">
        <v/>
      </c>
    </row>
    <row r="3314" spans="2:8" x14ac:dyDescent="0.2">
      <c r="B3314" s="87" t="str">
        <v/>
      </c>
      <c r="H3314" s="87" t="str">
        <v/>
      </c>
    </row>
    <row r="3315" spans="2:8" x14ac:dyDescent="0.2">
      <c r="B3315" s="87" t="str">
        <v/>
      </c>
      <c r="H3315" s="87" t="str">
        <v/>
      </c>
    </row>
    <row r="3316" spans="2:8" x14ac:dyDescent="0.2">
      <c r="B3316" s="87" t="str">
        <v/>
      </c>
      <c r="H3316" s="87" t="str">
        <v/>
      </c>
    </row>
    <row r="3317" spans="2:8" x14ac:dyDescent="0.2">
      <c r="B3317" s="87" t="str">
        <v/>
      </c>
      <c r="H3317" s="87" t="str">
        <v/>
      </c>
    </row>
    <row r="3318" spans="2:8" x14ac:dyDescent="0.2">
      <c r="B3318" s="87" t="str">
        <v/>
      </c>
      <c r="H3318" s="87" t="str">
        <v/>
      </c>
    </row>
    <row r="3319" spans="2:8" x14ac:dyDescent="0.2">
      <c r="B3319" s="87" t="str">
        <v/>
      </c>
      <c r="H3319" s="87" t="str">
        <v/>
      </c>
    </row>
    <row r="3320" spans="2:8" x14ac:dyDescent="0.2">
      <c r="B3320" s="87" t="str">
        <v/>
      </c>
      <c r="H3320" s="87" t="str">
        <v/>
      </c>
    </row>
    <row r="3321" spans="2:8" x14ac:dyDescent="0.2">
      <c r="B3321" s="87" t="str">
        <v/>
      </c>
      <c r="H3321" s="87" t="str">
        <v/>
      </c>
    </row>
    <row r="3322" spans="2:8" x14ac:dyDescent="0.2">
      <c r="B3322" s="87" t="str">
        <v/>
      </c>
      <c r="H3322" s="87" t="str">
        <v/>
      </c>
    </row>
    <row r="3323" spans="2:8" x14ac:dyDescent="0.2">
      <c r="B3323" s="87" t="str">
        <v/>
      </c>
      <c r="H3323" s="87" t="str">
        <v/>
      </c>
    </row>
    <row r="3324" spans="2:8" x14ac:dyDescent="0.2">
      <c r="B3324" s="87" t="str">
        <v/>
      </c>
      <c r="H3324" s="87" t="str">
        <v/>
      </c>
    </row>
    <row r="3325" spans="2:8" x14ac:dyDescent="0.2">
      <c r="B3325" s="87" t="str">
        <v/>
      </c>
      <c r="H3325" s="87" t="str">
        <v/>
      </c>
    </row>
    <row r="3326" spans="2:8" x14ac:dyDescent="0.2">
      <c r="B3326" s="87" t="str">
        <v/>
      </c>
      <c r="H3326" s="87" t="str">
        <v/>
      </c>
    </row>
    <row r="3327" spans="2:8" x14ac:dyDescent="0.2">
      <c r="B3327" s="87" t="str">
        <v/>
      </c>
      <c r="H3327" s="87" t="str">
        <v/>
      </c>
    </row>
    <row r="3328" spans="2:8" x14ac:dyDescent="0.2">
      <c r="B3328" s="87" t="str">
        <v/>
      </c>
      <c r="H3328" s="87" t="str">
        <v/>
      </c>
    </row>
    <row r="3329" spans="2:8" x14ac:dyDescent="0.2">
      <c r="B3329" s="87" t="str">
        <v/>
      </c>
      <c r="H3329" s="87" t="str">
        <v/>
      </c>
    </row>
    <row r="3330" spans="2:8" x14ac:dyDescent="0.2">
      <c r="B3330" s="87" t="str">
        <v/>
      </c>
      <c r="H3330" s="87" t="str">
        <v/>
      </c>
    </row>
    <row r="3331" spans="2:8" x14ac:dyDescent="0.2">
      <c r="B3331" s="87" t="str">
        <v/>
      </c>
      <c r="H3331" s="87" t="str">
        <v/>
      </c>
    </row>
    <row r="3332" spans="2:8" x14ac:dyDescent="0.2">
      <c r="B3332" s="87" t="str">
        <v/>
      </c>
      <c r="H3332" s="87" t="str">
        <v/>
      </c>
    </row>
    <row r="3333" spans="2:8" x14ac:dyDescent="0.2">
      <c r="B3333" s="87" t="str">
        <v/>
      </c>
      <c r="H3333" s="87" t="str">
        <v/>
      </c>
    </row>
    <row r="3334" spans="2:8" x14ac:dyDescent="0.2">
      <c r="B3334" s="87" t="str">
        <v/>
      </c>
      <c r="H3334" s="87" t="str">
        <v/>
      </c>
    </row>
    <row r="3335" spans="2:8" x14ac:dyDescent="0.2">
      <c r="B3335" s="87" t="str">
        <v/>
      </c>
      <c r="H3335" s="87" t="str">
        <v/>
      </c>
    </row>
    <row r="3336" spans="2:8" x14ac:dyDescent="0.2">
      <c r="B3336" s="87" t="str">
        <v/>
      </c>
      <c r="H3336" s="87" t="str">
        <v/>
      </c>
    </row>
    <row r="3337" spans="2:8" x14ac:dyDescent="0.2">
      <c r="B3337" s="87" t="str">
        <v/>
      </c>
      <c r="H3337" s="87" t="str">
        <v/>
      </c>
    </row>
    <row r="3338" spans="2:8" x14ac:dyDescent="0.2">
      <c r="B3338" s="87" t="str">
        <v/>
      </c>
      <c r="H3338" s="87" t="str">
        <v/>
      </c>
    </row>
    <row r="3339" spans="2:8" x14ac:dyDescent="0.2">
      <c r="B3339" s="87" t="str">
        <v/>
      </c>
      <c r="H3339" s="87" t="str">
        <v/>
      </c>
    </row>
    <row r="3340" spans="2:8" x14ac:dyDescent="0.2">
      <c r="B3340" s="87" t="str">
        <v/>
      </c>
      <c r="H3340" s="87" t="str">
        <v/>
      </c>
    </row>
    <row r="3341" spans="2:8" x14ac:dyDescent="0.2">
      <c r="B3341" s="87" t="str">
        <v/>
      </c>
      <c r="H3341" s="87" t="str">
        <v/>
      </c>
    </row>
    <row r="3342" spans="2:8" x14ac:dyDescent="0.2">
      <c r="B3342" s="87" t="str">
        <v/>
      </c>
      <c r="H3342" s="87" t="str">
        <v/>
      </c>
    </row>
    <row r="3343" spans="2:8" x14ac:dyDescent="0.2">
      <c r="B3343" s="87" t="str">
        <v/>
      </c>
      <c r="H3343" s="87" t="str">
        <v/>
      </c>
    </row>
    <row r="3344" spans="2:8" x14ac:dyDescent="0.2">
      <c r="B3344" s="87" t="str">
        <v/>
      </c>
      <c r="H3344" s="87" t="str">
        <v/>
      </c>
    </row>
    <row r="3345" spans="2:8" x14ac:dyDescent="0.2">
      <c r="B3345" s="87" t="str">
        <v/>
      </c>
      <c r="H3345" s="87" t="str">
        <v/>
      </c>
    </row>
    <row r="3346" spans="2:8" x14ac:dyDescent="0.2">
      <c r="B3346" s="87" t="str">
        <v/>
      </c>
      <c r="H3346" s="87" t="str">
        <v/>
      </c>
    </row>
    <row r="3347" spans="2:8" x14ac:dyDescent="0.2">
      <c r="B3347" s="87" t="str">
        <v/>
      </c>
      <c r="H3347" s="87" t="str">
        <v/>
      </c>
    </row>
    <row r="3348" spans="2:8" x14ac:dyDescent="0.2">
      <c r="B3348" s="87" t="str">
        <v/>
      </c>
      <c r="H3348" s="87" t="str">
        <v/>
      </c>
    </row>
    <row r="3349" spans="2:8" x14ac:dyDescent="0.2">
      <c r="B3349" s="87" t="str">
        <v/>
      </c>
      <c r="H3349" s="87" t="str">
        <v/>
      </c>
    </row>
    <row r="3350" spans="2:8" x14ac:dyDescent="0.2">
      <c r="B3350" s="87" t="str">
        <v/>
      </c>
      <c r="H3350" s="87" t="str">
        <v/>
      </c>
    </row>
    <row r="3351" spans="2:8" x14ac:dyDescent="0.2">
      <c r="B3351" s="87" t="str">
        <v/>
      </c>
      <c r="H3351" s="87" t="str">
        <v/>
      </c>
    </row>
    <row r="3352" spans="2:8" x14ac:dyDescent="0.2">
      <c r="B3352" s="87" t="str">
        <v/>
      </c>
      <c r="H3352" s="87" t="str">
        <v/>
      </c>
    </row>
    <row r="3353" spans="2:8" x14ac:dyDescent="0.2">
      <c r="B3353" s="87" t="str">
        <v/>
      </c>
      <c r="H3353" s="87" t="str">
        <v/>
      </c>
    </row>
    <row r="3354" spans="2:8" x14ac:dyDescent="0.2">
      <c r="B3354" s="87" t="str">
        <v/>
      </c>
      <c r="H3354" s="87" t="str">
        <v/>
      </c>
    </row>
    <row r="3355" spans="2:8" x14ac:dyDescent="0.2">
      <c r="B3355" s="87" t="str">
        <v/>
      </c>
      <c r="H3355" s="87" t="str">
        <v/>
      </c>
    </row>
    <row r="3356" spans="2:8" x14ac:dyDescent="0.2">
      <c r="B3356" s="87" t="str">
        <v/>
      </c>
      <c r="H3356" s="87" t="str">
        <v/>
      </c>
    </row>
    <row r="3357" spans="2:8" x14ac:dyDescent="0.2">
      <c r="B3357" s="87" t="str">
        <v/>
      </c>
      <c r="H3357" s="87" t="str">
        <v/>
      </c>
    </row>
    <row r="3358" spans="2:8" x14ac:dyDescent="0.2">
      <c r="B3358" s="87" t="str">
        <v/>
      </c>
      <c r="H3358" s="87" t="str">
        <v/>
      </c>
    </row>
    <row r="3359" spans="2:8" x14ac:dyDescent="0.2">
      <c r="B3359" s="87" t="str">
        <v/>
      </c>
      <c r="H3359" s="87" t="str">
        <v/>
      </c>
    </row>
    <row r="3360" spans="2:8" x14ac:dyDescent="0.2">
      <c r="B3360" s="87" t="str">
        <v/>
      </c>
      <c r="H3360" s="87" t="str">
        <v/>
      </c>
    </row>
    <row r="3361" spans="2:8" x14ac:dyDescent="0.2">
      <c r="B3361" s="87" t="str">
        <v/>
      </c>
      <c r="H3361" s="87" t="str">
        <v/>
      </c>
    </row>
    <row r="3362" spans="2:8" x14ac:dyDescent="0.2">
      <c r="B3362" s="87" t="str">
        <v/>
      </c>
      <c r="H3362" s="87" t="str">
        <v/>
      </c>
    </row>
    <row r="3363" spans="2:8" x14ac:dyDescent="0.2">
      <c r="B3363" s="87" t="str">
        <v/>
      </c>
      <c r="H3363" s="87" t="str">
        <v/>
      </c>
    </row>
    <row r="3364" spans="2:8" x14ac:dyDescent="0.2">
      <c r="B3364" s="87" t="str">
        <v/>
      </c>
      <c r="H3364" s="87" t="str">
        <v/>
      </c>
    </row>
    <row r="3365" spans="2:8" x14ac:dyDescent="0.2">
      <c r="B3365" s="87" t="str">
        <v/>
      </c>
      <c r="H3365" s="87" t="str">
        <v/>
      </c>
    </row>
    <row r="3366" spans="2:8" x14ac:dyDescent="0.2">
      <c r="B3366" s="87" t="str">
        <v/>
      </c>
      <c r="H3366" s="87" t="str">
        <v/>
      </c>
    </row>
    <row r="3367" spans="2:8" x14ac:dyDescent="0.2">
      <c r="B3367" s="87" t="str">
        <v/>
      </c>
      <c r="H3367" s="87" t="str">
        <v/>
      </c>
    </row>
    <row r="3368" spans="2:8" x14ac:dyDescent="0.2">
      <c r="B3368" s="87" t="str">
        <v/>
      </c>
      <c r="H3368" s="87" t="str">
        <v/>
      </c>
    </row>
    <row r="3369" spans="2:8" x14ac:dyDescent="0.2">
      <c r="B3369" s="87" t="str">
        <v/>
      </c>
      <c r="H3369" s="87" t="str">
        <v/>
      </c>
    </row>
    <row r="3370" spans="2:8" x14ac:dyDescent="0.2">
      <c r="B3370" s="87" t="str">
        <v/>
      </c>
      <c r="H3370" s="87" t="str">
        <v/>
      </c>
    </row>
    <row r="3371" spans="2:8" x14ac:dyDescent="0.2">
      <c r="B3371" s="87" t="str">
        <v/>
      </c>
      <c r="H3371" s="87" t="str">
        <v/>
      </c>
    </row>
    <row r="3372" spans="2:8" x14ac:dyDescent="0.2">
      <c r="B3372" s="87" t="str">
        <v/>
      </c>
      <c r="H3372" s="87" t="str">
        <v/>
      </c>
    </row>
    <row r="3373" spans="2:8" x14ac:dyDescent="0.2">
      <c r="B3373" s="87" t="str">
        <v/>
      </c>
      <c r="H3373" s="87" t="str">
        <v/>
      </c>
    </row>
    <row r="3374" spans="2:8" x14ac:dyDescent="0.2">
      <c r="B3374" s="87" t="str">
        <v/>
      </c>
      <c r="H3374" s="87" t="str">
        <v/>
      </c>
    </row>
    <row r="3375" spans="2:8" x14ac:dyDescent="0.2">
      <c r="B3375" s="87" t="str">
        <v/>
      </c>
      <c r="H3375" s="87" t="str">
        <v/>
      </c>
    </row>
    <row r="3376" spans="2:8" x14ac:dyDescent="0.2">
      <c r="B3376" s="87" t="str">
        <v/>
      </c>
      <c r="H3376" s="87" t="str">
        <v/>
      </c>
    </row>
    <row r="3377" spans="2:8" x14ac:dyDescent="0.2">
      <c r="B3377" s="87" t="str">
        <v/>
      </c>
      <c r="H3377" s="87" t="str">
        <v/>
      </c>
    </row>
    <row r="3378" spans="2:8" x14ac:dyDescent="0.2">
      <c r="B3378" s="87" t="str">
        <v/>
      </c>
      <c r="H3378" s="87" t="str">
        <v/>
      </c>
    </row>
    <row r="3379" spans="2:8" x14ac:dyDescent="0.2">
      <c r="B3379" s="87" t="str">
        <v/>
      </c>
      <c r="H3379" s="87" t="str">
        <v/>
      </c>
    </row>
    <row r="3380" spans="2:8" x14ac:dyDescent="0.2">
      <c r="B3380" s="87" t="str">
        <v/>
      </c>
      <c r="H3380" s="87" t="str">
        <v/>
      </c>
    </row>
    <row r="3381" spans="2:8" x14ac:dyDescent="0.2">
      <c r="B3381" s="87" t="str">
        <v/>
      </c>
      <c r="H3381" s="87" t="str">
        <v/>
      </c>
    </row>
    <row r="3382" spans="2:8" x14ac:dyDescent="0.2">
      <c r="B3382" s="87" t="str">
        <v/>
      </c>
      <c r="H3382" s="87" t="str">
        <v/>
      </c>
    </row>
    <row r="3383" spans="2:8" x14ac:dyDescent="0.2">
      <c r="B3383" s="87" t="str">
        <v/>
      </c>
      <c r="H3383" s="87" t="str">
        <v/>
      </c>
    </row>
    <row r="3384" spans="2:8" x14ac:dyDescent="0.2">
      <c r="B3384" s="87" t="str">
        <v/>
      </c>
      <c r="H3384" s="87" t="str">
        <v/>
      </c>
    </row>
    <row r="3385" spans="2:8" x14ac:dyDescent="0.2">
      <c r="B3385" s="87" t="str">
        <v/>
      </c>
      <c r="H3385" s="87" t="str">
        <v/>
      </c>
    </row>
    <row r="3386" spans="2:8" x14ac:dyDescent="0.2">
      <c r="B3386" s="87" t="str">
        <v/>
      </c>
      <c r="H3386" s="87" t="str">
        <v/>
      </c>
    </row>
    <row r="3387" spans="2:8" x14ac:dyDescent="0.2">
      <c r="B3387" s="87" t="str">
        <v/>
      </c>
      <c r="H3387" s="87" t="str">
        <v/>
      </c>
    </row>
    <row r="3388" spans="2:8" x14ac:dyDescent="0.2">
      <c r="B3388" s="87" t="str">
        <v/>
      </c>
      <c r="H3388" s="87" t="str">
        <v/>
      </c>
    </row>
    <row r="3389" spans="2:8" x14ac:dyDescent="0.2">
      <c r="B3389" s="87" t="str">
        <v/>
      </c>
      <c r="H3389" s="87" t="str">
        <v/>
      </c>
    </row>
    <row r="3390" spans="2:8" x14ac:dyDescent="0.2">
      <c r="B3390" s="87" t="str">
        <v/>
      </c>
      <c r="H3390" s="87" t="str">
        <v/>
      </c>
    </row>
    <row r="3391" spans="2:8" x14ac:dyDescent="0.2">
      <c r="B3391" s="87" t="str">
        <v/>
      </c>
      <c r="H3391" s="87" t="str">
        <v/>
      </c>
    </row>
    <row r="3392" spans="2:8" x14ac:dyDescent="0.2">
      <c r="B3392" s="87" t="str">
        <v/>
      </c>
      <c r="H3392" s="87" t="str">
        <v/>
      </c>
    </row>
    <row r="3393" spans="2:8" x14ac:dyDescent="0.2">
      <c r="B3393" s="87" t="str">
        <v/>
      </c>
      <c r="H3393" s="87" t="str">
        <v/>
      </c>
    </row>
    <row r="3394" spans="2:8" x14ac:dyDescent="0.2">
      <c r="B3394" s="87" t="str">
        <v/>
      </c>
      <c r="H3394" s="87" t="str">
        <v/>
      </c>
    </row>
    <row r="3395" spans="2:8" x14ac:dyDescent="0.2">
      <c r="B3395" s="87" t="str">
        <v/>
      </c>
      <c r="H3395" s="87" t="str">
        <v/>
      </c>
    </row>
    <row r="3396" spans="2:8" x14ac:dyDescent="0.2">
      <c r="B3396" s="87" t="str">
        <v/>
      </c>
      <c r="H3396" s="87" t="str">
        <v/>
      </c>
    </row>
    <row r="3397" spans="2:8" x14ac:dyDescent="0.2">
      <c r="B3397" s="87" t="str">
        <v/>
      </c>
      <c r="H3397" s="87" t="str">
        <v/>
      </c>
    </row>
    <row r="3398" spans="2:8" x14ac:dyDescent="0.2">
      <c r="B3398" s="87" t="str">
        <v/>
      </c>
      <c r="H3398" s="87" t="str">
        <v/>
      </c>
    </row>
    <row r="3399" spans="2:8" x14ac:dyDescent="0.2">
      <c r="B3399" s="87" t="str">
        <v/>
      </c>
      <c r="H3399" s="87" t="str">
        <v/>
      </c>
    </row>
    <row r="3400" spans="2:8" x14ac:dyDescent="0.2">
      <c r="B3400" s="87" t="str">
        <v/>
      </c>
      <c r="H3400" s="87" t="str">
        <v/>
      </c>
    </row>
    <row r="3401" spans="2:8" x14ac:dyDescent="0.2">
      <c r="B3401" s="87" t="str">
        <v/>
      </c>
      <c r="H3401" s="87" t="str">
        <v/>
      </c>
    </row>
    <row r="3402" spans="2:8" x14ac:dyDescent="0.2">
      <c r="B3402" s="87" t="str">
        <v/>
      </c>
      <c r="H3402" s="87" t="str">
        <v/>
      </c>
    </row>
    <row r="3403" spans="2:8" x14ac:dyDescent="0.2">
      <c r="B3403" s="87" t="str">
        <v/>
      </c>
      <c r="H3403" s="87" t="str">
        <v/>
      </c>
    </row>
    <row r="3404" spans="2:8" x14ac:dyDescent="0.2">
      <c r="B3404" s="87" t="str">
        <v/>
      </c>
      <c r="H3404" s="87" t="str">
        <v/>
      </c>
    </row>
    <row r="3405" spans="2:8" x14ac:dyDescent="0.2">
      <c r="B3405" s="87" t="str">
        <v/>
      </c>
      <c r="H3405" s="87" t="str">
        <v/>
      </c>
    </row>
    <row r="3406" spans="2:8" x14ac:dyDescent="0.2">
      <c r="B3406" s="87" t="str">
        <v/>
      </c>
      <c r="H3406" s="87" t="str">
        <v/>
      </c>
    </row>
    <row r="3407" spans="2:8" x14ac:dyDescent="0.2">
      <c r="B3407" s="87" t="str">
        <v/>
      </c>
      <c r="H3407" s="87" t="str">
        <v/>
      </c>
    </row>
    <row r="3408" spans="2:8" x14ac:dyDescent="0.2">
      <c r="B3408" s="87" t="str">
        <v/>
      </c>
      <c r="H3408" s="87" t="str">
        <v/>
      </c>
    </row>
    <row r="3409" spans="2:8" x14ac:dyDescent="0.2">
      <c r="B3409" s="87" t="str">
        <v/>
      </c>
      <c r="H3409" s="87" t="str">
        <v/>
      </c>
    </row>
    <row r="3410" spans="2:8" x14ac:dyDescent="0.2">
      <c r="B3410" s="87" t="str">
        <v/>
      </c>
      <c r="H3410" s="87" t="str">
        <v/>
      </c>
    </row>
    <row r="3411" spans="2:8" x14ac:dyDescent="0.2">
      <c r="B3411" s="87" t="str">
        <v/>
      </c>
      <c r="H3411" s="87" t="str">
        <v/>
      </c>
    </row>
    <row r="3412" spans="2:8" x14ac:dyDescent="0.2">
      <c r="B3412" s="87" t="str">
        <v/>
      </c>
      <c r="H3412" s="87" t="str">
        <v/>
      </c>
    </row>
    <row r="3413" spans="2:8" x14ac:dyDescent="0.2">
      <c r="B3413" s="87" t="str">
        <v/>
      </c>
      <c r="H3413" s="87" t="str">
        <v/>
      </c>
    </row>
    <row r="3414" spans="2:8" x14ac:dyDescent="0.2">
      <c r="B3414" s="87" t="str">
        <v/>
      </c>
      <c r="H3414" s="87" t="str">
        <v/>
      </c>
    </row>
    <row r="3415" spans="2:8" x14ac:dyDescent="0.2">
      <c r="B3415" s="87" t="str">
        <v/>
      </c>
      <c r="H3415" s="87" t="str">
        <v/>
      </c>
    </row>
    <row r="3416" spans="2:8" x14ac:dyDescent="0.2">
      <c r="B3416" s="87" t="str">
        <v/>
      </c>
      <c r="H3416" s="87" t="str">
        <v/>
      </c>
    </row>
    <row r="3417" spans="2:8" x14ac:dyDescent="0.2">
      <c r="B3417" s="87" t="str">
        <v/>
      </c>
      <c r="H3417" s="87" t="str">
        <v/>
      </c>
    </row>
    <row r="3418" spans="2:8" x14ac:dyDescent="0.2">
      <c r="B3418" s="87" t="str">
        <v/>
      </c>
      <c r="H3418" s="87" t="str">
        <v/>
      </c>
    </row>
    <row r="3419" spans="2:8" x14ac:dyDescent="0.2">
      <c r="B3419" s="87" t="str">
        <v/>
      </c>
      <c r="H3419" s="87" t="str">
        <v/>
      </c>
    </row>
    <row r="3420" spans="2:8" x14ac:dyDescent="0.2">
      <c r="B3420" s="87" t="str">
        <v/>
      </c>
      <c r="H3420" s="87" t="str">
        <v/>
      </c>
    </row>
    <row r="3421" spans="2:8" x14ac:dyDescent="0.2">
      <c r="B3421" s="87" t="str">
        <v/>
      </c>
      <c r="H3421" s="87" t="str">
        <v/>
      </c>
    </row>
    <row r="3422" spans="2:8" x14ac:dyDescent="0.2">
      <c r="B3422" s="87" t="str">
        <v/>
      </c>
      <c r="H3422" s="87" t="str">
        <v/>
      </c>
    </row>
    <row r="3423" spans="2:8" x14ac:dyDescent="0.2">
      <c r="B3423" s="87" t="str">
        <v/>
      </c>
      <c r="H3423" s="87" t="str">
        <v/>
      </c>
    </row>
    <row r="3424" spans="2:8" x14ac:dyDescent="0.2">
      <c r="B3424" s="87" t="str">
        <v/>
      </c>
      <c r="H3424" s="87" t="str">
        <v/>
      </c>
    </row>
    <row r="3425" spans="2:8" x14ac:dyDescent="0.2">
      <c r="B3425" s="87" t="str">
        <v/>
      </c>
      <c r="H3425" s="87" t="str">
        <v/>
      </c>
    </row>
    <row r="3426" spans="2:8" x14ac:dyDescent="0.2">
      <c r="B3426" s="87" t="str">
        <v/>
      </c>
      <c r="H3426" s="87" t="str">
        <v/>
      </c>
    </row>
    <row r="3427" spans="2:8" x14ac:dyDescent="0.2">
      <c r="B3427" s="87" t="str">
        <v/>
      </c>
      <c r="H3427" s="87" t="str">
        <v/>
      </c>
    </row>
    <row r="3428" spans="2:8" x14ac:dyDescent="0.2">
      <c r="B3428" s="87" t="str">
        <v/>
      </c>
      <c r="H3428" s="87" t="str">
        <v/>
      </c>
    </row>
    <row r="3429" spans="2:8" x14ac:dyDescent="0.2">
      <c r="B3429" s="87" t="str">
        <v/>
      </c>
      <c r="H3429" s="87" t="str">
        <v/>
      </c>
    </row>
    <row r="3430" spans="2:8" x14ac:dyDescent="0.2">
      <c r="B3430" s="87" t="str">
        <v/>
      </c>
      <c r="H3430" s="87" t="str">
        <v/>
      </c>
    </row>
    <row r="3431" spans="2:8" x14ac:dyDescent="0.2">
      <c r="B3431" s="87" t="str">
        <v/>
      </c>
      <c r="H3431" s="87" t="str">
        <v/>
      </c>
    </row>
    <row r="3432" spans="2:8" x14ac:dyDescent="0.2">
      <c r="B3432" s="87" t="str">
        <v/>
      </c>
      <c r="H3432" s="87" t="str">
        <v/>
      </c>
    </row>
    <row r="3433" spans="2:8" x14ac:dyDescent="0.2">
      <c r="B3433" s="87" t="str">
        <v/>
      </c>
      <c r="H3433" s="87" t="str">
        <v/>
      </c>
    </row>
    <row r="3434" spans="2:8" x14ac:dyDescent="0.2">
      <c r="B3434" s="87" t="str">
        <v/>
      </c>
      <c r="H3434" s="87" t="str">
        <v/>
      </c>
    </row>
    <row r="3435" spans="2:8" x14ac:dyDescent="0.2">
      <c r="B3435" s="87" t="str">
        <v/>
      </c>
      <c r="H3435" s="87" t="str">
        <v/>
      </c>
    </row>
    <row r="3436" spans="2:8" x14ac:dyDescent="0.2">
      <c r="B3436" s="87" t="str">
        <v/>
      </c>
      <c r="H3436" s="87" t="str">
        <v/>
      </c>
    </row>
    <row r="3437" spans="2:8" x14ac:dyDescent="0.2">
      <c r="B3437" s="87" t="str">
        <v/>
      </c>
      <c r="H3437" s="87" t="str">
        <v/>
      </c>
    </row>
    <row r="3438" spans="2:8" x14ac:dyDescent="0.2">
      <c r="B3438" s="87" t="str">
        <v/>
      </c>
      <c r="H3438" s="87" t="str">
        <v/>
      </c>
    </row>
    <row r="3439" spans="2:8" x14ac:dyDescent="0.2">
      <c r="B3439" s="87" t="str">
        <v/>
      </c>
      <c r="H3439" s="87" t="str">
        <v/>
      </c>
    </row>
    <row r="3440" spans="2:8" x14ac:dyDescent="0.2">
      <c r="B3440" s="87" t="str">
        <v/>
      </c>
      <c r="H3440" s="87" t="str">
        <v/>
      </c>
    </row>
    <row r="3441" spans="2:8" x14ac:dyDescent="0.2">
      <c r="B3441" s="87" t="str">
        <v/>
      </c>
      <c r="H3441" s="87" t="str">
        <v/>
      </c>
    </row>
    <row r="3442" spans="2:8" x14ac:dyDescent="0.2">
      <c r="B3442" s="87" t="str">
        <v/>
      </c>
      <c r="H3442" s="87" t="str">
        <v/>
      </c>
    </row>
    <row r="3443" spans="2:8" x14ac:dyDescent="0.2">
      <c r="B3443" s="87" t="str">
        <v/>
      </c>
      <c r="H3443" s="87" t="str">
        <v/>
      </c>
    </row>
    <row r="3444" spans="2:8" x14ac:dyDescent="0.2">
      <c r="B3444" s="87" t="str">
        <v/>
      </c>
      <c r="H3444" s="87" t="str">
        <v/>
      </c>
    </row>
    <row r="3445" spans="2:8" x14ac:dyDescent="0.2">
      <c r="B3445" s="87" t="str">
        <v/>
      </c>
      <c r="H3445" s="87" t="str">
        <v/>
      </c>
    </row>
    <row r="3446" spans="2:8" x14ac:dyDescent="0.2">
      <c r="B3446" s="87" t="str">
        <v/>
      </c>
      <c r="H3446" s="87" t="str">
        <v/>
      </c>
    </row>
    <row r="3447" spans="2:8" x14ac:dyDescent="0.2">
      <c r="B3447" s="87" t="str">
        <v/>
      </c>
      <c r="H3447" s="87" t="str">
        <v/>
      </c>
    </row>
    <row r="3448" spans="2:8" x14ac:dyDescent="0.2">
      <c r="B3448" s="87" t="str">
        <v/>
      </c>
      <c r="H3448" s="87" t="str">
        <v/>
      </c>
    </row>
    <row r="3449" spans="2:8" x14ac:dyDescent="0.2">
      <c r="B3449" s="87" t="str">
        <v/>
      </c>
      <c r="H3449" s="87" t="str">
        <v/>
      </c>
    </row>
    <row r="3450" spans="2:8" x14ac:dyDescent="0.2">
      <c r="B3450" s="87" t="str">
        <v/>
      </c>
      <c r="H3450" s="87" t="str">
        <v/>
      </c>
    </row>
    <row r="3451" spans="2:8" x14ac:dyDescent="0.2">
      <c r="B3451" s="87" t="str">
        <v/>
      </c>
      <c r="H3451" s="87" t="str">
        <v/>
      </c>
    </row>
    <row r="3452" spans="2:8" x14ac:dyDescent="0.2">
      <c r="B3452" s="87" t="str">
        <v/>
      </c>
      <c r="H3452" s="87" t="str">
        <v/>
      </c>
    </row>
    <row r="3453" spans="2:8" x14ac:dyDescent="0.2">
      <c r="B3453" s="87" t="str">
        <v/>
      </c>
      <c r="H3453" s="87" t="str">
        <v/>
      </c>
    </row>
    <row r="3454" spans="2:8" x14ac:dyDescent="0.2">
      <c r="B3454" s="87" t="str">
        <v/>
      </c>
      <c r="H3454" s="87" t="str">
        <v/>
      </c>
    </row>
    <row r="3455" spans="2:8" x14ac:dyDescent="0.2">
      <c r="B3455" s="87" t="str">
        <v/>
      </c>
      <c r="H3455" s="87" t="str">
        <v/>
      </c>
    </row>
    <row r="3456" spans="2:8" x14ac:dyDescent="0.2">
      <c r="B3456" s="87" t="str">
        <v/>
      </c>
      <c r="H3456" s="87" t="str">
        <v/>
      </c>
    </row>
    <row r="3457" spans="2:8" x14ac:dyDescent="0.2">
      <c r="B3457" s="87" t="str">
        <v/>
      </c>
      <c r="H3457" s="87" t="str">
        <v/>
      </c>
    </row>
    <row r="3458" spans="2:8" x14ac:dyDescent="0.2">
      <c r="B3458" s="87" t="str">
        <v/>
      </c>
      <c r="H3458" s="87" t="str">
        <v/>
      </c>
    </row>
    <row r="3459" spans="2:8" x14ac:dyDescent="0.2">
      <c r="B3459" s="87" t="str">
        <v/>
      </c>
      <c r="H3459" s="87" t="str">
        <v/>
      </c>
    </row>
    <row r="3460" spans="2:8" x14ac:dyDescent="0.2">
      <c r="B3460" s="87" t="str">
        <v/>
      </c>
      <c r="H3460" s="87" t="str">
        <v/>
      </c>
    </row>
    <row r="3461" spans="2:8" x14ac:dyDescent="0.2">
      <c r="B3461" s="87" t="str">
        <v/>
      </c>
      <c r="H3461" s="87" t="str">
        <v/>
      </c>
    </row>
    <row r="3462" spans="2:8" x14ac:dyDescent="0.2">
      <c r="B3462" s="87" t="str">
        <v/>
      </c>
      <c r="H3462" s="87" t="str">
        <v/>
      </c>
    </row>
    <row r="3463" spans="2:8" x14ac:dyDescent="0.2">
      <c r="B3463" s="87" t="str">
        <v/>
      </c>
      <c r="H3463" s="87" t="str">
        <v/>
      </c>
    </row>
    <row r="3464" spans="2:8" x14ac:dyDescent="0.2">
      <c r="B3464" s="87" t="str">
        <v/>
      </c>
      <c r="H3464" s="87" t="str">
        <v/>
      </c>
    </row>
    <row r="3465" spans="2:8" x14ac:dyDescent="0.2">
      <c r="B3465" s="87" t="str">
        <v/>
      </c>
      <c r="H3465" s="87" t="str">
        <v/>
      </c>
    </row>
    <row r="3466" spans="2:8" x14ac:dyDescent="0.2">
      <c r="B3466" s="87" t="str">
        <v/>
      </c>
      <c r="H3466" s="87" t="str">
        <v/>
      </c>
    </row>
    <row r="3467" spans="2:8" x14ac:dyDescent="0.2">
      <c r="B3467" s="87" t="str">
        <v/>
      </c>
      <c r="H3467" s="87" t="str">
        <v/>
      </c>
    </row>
    <row r="3468" spans="2:8" x14ac:dyDescent="0.2">
      <c r="B3468" s="87" t="str">
        <v/>
      </c>
      <c r="H3468" s="87" t="str">
        <v/>
      </c>
    </row>
    <row r="3469" spans="2:8" x14ac:dyDescent="0.2">
      <c r="B3469" s="87" t="str">
        <v/>
      </c>
      <c r="H3469" s="87" t="str">
        <v/>
      </c>
    </row>
    <row r="3470" spans="2:8" x14ac:dyDescent="0.2">
      <c r="B3470" s="87" t="str">
        <v/>
      </c>
      <c r="H3470" s="87" t="str">
        <v/>
      </c>
    </row>
    <row r="3471" spans="2:8" x14ac:dyDescent="0.2">
      <c r="B3471" s="87" t="str">
        <v/>
      </c>
      <c r="H3471" s="87" t="str">
        <v/>
      </c>
    </row>
    <row r="3472" spans="2:8" x14ac:dyDescent="0.2">
      <c r="B3472" s="87" t="str">
        <v/>
      </c>
      <c r="H3472" s="87" t="str">
        <v/>
      </c>
    </row>
    <row r="3473" spans="2:8" x14ac:dyDescent="0.2">
      <c r="B3473" s="87" t="str">
        <v/>
      </c>
      <c r="H3473" s="87" t="str">
        <v/>
      </c>
    </row>
    <row r="3474" spans="2:8" x14ac:dyDescent="0.2">
      <c r="B3474" s="87" t="str">
        <v/>
      </c>
      <c r="H3474" s="87" t="str">
        <v/>
      </c>
    </row>
    <row r="3475" spans="2:8" x14ac:dyDescent="0.2">
      <c r="B3475" s="87" t="str">
        <v/>
      </c>
      <c r="H3475" s="87" t="str">
        <v/>
      </c>
    </row>
    <row r="3476" spans="2:8" x14ac:dyDescent="0.2">
      <c r="B3476" s="87" t="str">
        <v/>
      </c>
      <c r="H3476" s="87" t="str">
        <v/>
      </c>
    </row>
    <row r="3477" spans="2:8" x14ac:dyDescent="0.2">
      <c r="B3477" s="87" t="str">
        <v/>
      </c>
      <c r="H3477" s="87" t="str">
        <v/>
      </c>
    </row>
    <row r="3478" spans="2:8" x14ac:dyDescent="0.2">
      <c r="B3478" s="87" t="str">
        <v/>
      </c>
      <c r="H3478" s="87" t="str">
        <v/>
      </c>
    </row>
    <row r="3479" spans="2:8" x14ac:dyDescent="0.2">
      <c r="B3479" s="87" t="str">
        <v/>
      </c>
      <c r="H3479" s="87" t="str">
        <v/>
      </c>
    </row>
    <row r="3480" spans="2:8" x14ac:dyDescent="0.2">
      <c r="B3480" s="87" t="str">
        <v/>
      </c>
      <c r="H3480" s="87" t="str">
        <v/>
      </c>
    </row>
    <row r="3481" spans="2:8" x14ac:dyDescent="0.2">
      <c r="B3481" s="87" t="str">
        <v/>
      </c>
      <c r="H3481" s="87" t="str">
        <v/>
      </c>
    </row>
    <row r="3482" spans="2:8" x14ac:dyDescent="0.2">
      <c r="B3482" s="87" t="str">
        <v/>
      </c>
      <c r="H3482" s="87" t="str">
        <v/>
      </c>
    </row>
    <row r="3483" spans="2:8" x14ac:dyDescent="0.2">
      <c r="B3483" s="87" t="str">
        <v/>
      </c>
      <c r="H3483" s="87" t="str">
        <v/>
      </c>
    </row>
    <row r="3484" spans="2:8" x14ac:dyDescent="0.2">
      <c r="B3484" s="87" t="str">
        <v/>
      </c>
      <c r="H3484" s="87" t="str">
        <v/>
      </c>
    </row>
    <row r="3485" spans="2:8" x14ac:dyDescent="0.2">
      <c r="B3485" s="87" t="str">
        <v/>
      </c>
      <c r="H3485" s="87" t="str">
        <v/>
      </c>
    </row>
    <row r="3486" spans="2:8" x14ac:dyDescent="0.2">
      <c r="B3486" s="87" t="str">
        <v/>
      </c>
      <c r="H3486" s="87" t="str">
        <v/>
      </c>
    </row>
    <row r="3487" spans="2:8" x14ac:dyDescent="0.2">
      <c r="B3487" s="87" t="str">
        <v/>
      </c>
      <c r="H3487" s="87" t="str">
        <v/>
      </c>
    </row>
    <row r="3488" spans="2:8" x14ac:dyDescent="0.2">
      <c r="B3488" s="87" t="str">
        <v/>
      </c>
      <c r="H3488" s="87" t="str">
        <v/>
      </c>
    </row>
    <row r="3489" spans="2:8" x14ac:dyDescent="0.2">
      <c r="B3489" s="87" t="str">
        <v/>
      </c>
      <c r="H3489" s="87" t="str">
        <v/>
      </c>
    </row>
    <row r="3490" spans="2:8" x14ac:dyDescent="0.2">
      <c r="B3490" s="87" t="str">
        <v/>
      </c>
      <c r="H3490" s="87" t="str">
        <v/>
      </c>
    </row>
    <row r="3491" spans="2:8" x14ac:dyDescent="0.2">
      <c r="B3491" s="87" t="str">
        <v/>
      </c>
      <c r="H3491" s="87" t="str">
        <v/>
      </c>
    </row>
    <row r="3492" spans="2:8" x14ac:dyDescent="0.2">
      <c r="B3492" s="87" t="str">
        <v/>
      </c>
      <c r="H3492" s="87" t="str">
        <v/>
      </c>
    </row>
    <row r="3493" spans="2:8" x14ac:dyDescent="0.2">
      <c r="B3493" s="87" t="str">
        <v/>
      </c>
      <c r="H3493" s="87" t="str">
        <v/>
      </c>
    </row>
    <row r="3494" spans="2:8" x14ac:dyDescent="0.2">
      <c r="B3494" s="87" t="str">
        <v/>
      </c>
      <c r="H3494" s="87" t="str">
        <v/>
      </c>
    </row>
    <row r="3495" spans="2:8" x14ac:dyDescent="0.2">
      <c r="B3495" s="87" t="str">
        <v/>
      </c>
      <c r="H3495" s="87" t="str">
        <v/>
      </c>
    </row>
    <row r="3496" spans="2:8" x14ac:dyDescent="0.2">
      <c r="B3496" s="87" t="str">
        <v/>
      </c>
      <c r="H3496" s="87" t="str">
        <v/>
      </c>
    </row>
    <row r="3497" spans="2:8" x14ac:dyDescent="0.2">
      <c r="B3497" s="87" t="str">
        <v/>
      </c>
      <c r="H3497" s="87" t="str">
        <v/>
      </c>
    </row>
    <row r="3498" spans="2:8" x14ac:dyDescent="0.2">
      <c r="B3498" s="87" t="str">
        <v/>
      </c>
      <c r="H3498" s="87" t="str">
        <v/>
      </c>
    </row>
    <row r="3499" spans="2:8" x14ac:dyDescent="0.2">
      <c r="B3499" s="87" t="str">
        <v/>
      </c>
      <c r="H3499" s="87" t="str">
        <v/>
      </c>
    </row>
    <row r="3500" spans="2:8" x14ac:dyDescent="0.2">
      <c r="B3500" s="87" t="str">
        <v/>
      </c>
      <c r="H3500" s="87" t="str">
        <v/>
      </c>
    </row>
    <row r="3501" spans="2:8" x14ac:dyDescent="0.2">
      <c r="B3501" s="87" t="str">
        <v/>
      </c>
      <c r="H3501" s="87" t="str">
        <v/>
      </c>
    </row>
    <row r="3502" spans="2:8" x14ac:dyDescent="0.2">
      <c r="B3502" s="87" t="str">
        <v/>
      </c>
      <c r="H3502" s="87" t="str">
        <v/>
      </c>
    </row>
    <row r="3503" spans="2:8" x14ac:dyDescent="0.2">
      <c r="B3503" s="87" t="str">
        <v/>
      </c>
      <c r="H3503" s="87" t="str">
        <v/>
      </c>
    </row>
    <row r="3504" spans="2:8" x14ac:dyDescent="0.2">
      <c r="B3504" s="87" t="str">
        <v/>
      </c>
      <c r="H3504" s="87" t="str">
        <v/>
      </c>
    </row>
    <row r="3505" spans="2:8" x14ac:dyDescent="0.2">
      <c r="B3505" s="87" t="str">
        <v/>
      </c>
      <c r="H3505" s="87" t="str">
        <v/>
      </c>
    </row>
    <row r="3506" spans="2:8" x14ac:dyDescent="0.2">
      <c r="B3506" s="87" t="str">
        <v/>
      </c>
      <c r="H3506" s="87" t="str">
        <v/>
      </c>
    </row>
    <row r="3507" spans="2:8" x14ac:dyDescent="0.2">
      <c r="B3507" s="87" t="str">
        <v/>
      </c>
      <c r="H3507" s="87" t="str">
        <v/>
      </c>
    </row>
    <row r="3508" spans="2:8" x14ac:dyDescent="0.2">
      <c r="B3508" s="87" t="str">
        <v/>
      </c>
      <c r="H3508" s="87" t="str">
        <v/>
      </c>
    </row>
    <row r="3509" spans="2:8" x14ac:dyDescent="0.2">
      <c r="B3509" s="87" t="str">
        <v/>
      </c>
      <c r="H3509" s="87" t="str">
        <v/>
      </c>
    </row>
    <row r="3510" spans="2:8" x14ac:dyDescent="0.2">
      <c r="B3510" s="87" t="str">
        <v/>
      </c>
      <c r="H3510" s="87" t="str">
        <v/>
      </c>
    </row>
    <row r="3511" spans="2:8" x14ac:dyDescent="0.2">
      <c r="B3511" s="87" t="str">
        <v/>
      </c>
      <c r="H3511" s="87" t="str">
        <v/>
      </c>
    </row>
    <row r="3512" spans="2:8" x14ac:dyDescent="0.2">
      <c r="B3512" s="87" t="str">
        <v/>
      </c>
      <c r="H3512" s="87" t="str">
        <v/>
      </c>
    </row>
    <row r="3513" spans="2:8" x14ac:dyDescent="0.2">
      <c r="B3513" s="87" t="str">
        <v/>
      </c>
      <c r="H3513" s="87" t="str">
        <v/>
      </c>
    </row>
    <row r="3514" spans="2:8" x14ac:dyDescent="0.2">
      <c r="B3514" s="87" t="str">
        <v/>
      </c>
      <c r="H3514" s="87" t="str">
        <v/>
      </c>
    </row>
    <row r="3515" spans="2:8" x14ac:dyDescent="0.2">
      <c r="B3515" s="87" t="str">
        <v/>
      </c>
      <c r="H3515" s="87" t="str">
        <v/>
      </c>
    </row>
    <row r="3516" spans="2:8" x14ac:dyDescent="0.2">
      <c r="B3516" s="87" t="str">
        <v/>
      </c>
      <c r="H3516" s="87" t="str">
        <v/>
      </c>
    </row>
    <row r="3517" spans="2:8" x14ac:dyDescent="0.2">
      <c r="B3517" s="87" t="str">
        <v/>
      </c>
      <c r="H3517" s="87" t="str">
        <v/>
      </c>
    </row>
    <row r="3518" spans="2:8" x14ac:dyDescent="0.2">
      <c r="B3518" s="87" t="str">
        <v/>
      </c>
      <c r="H3518" s="87" t="str">
        <v/>
      </c>
    </row>
    <row r="3519" spans="2:8" x14ac:dyDescent="0.2">
      <c r="B3519" s="87" t="str">
        <v/>
      </c>
      <c r="H3519" s="87" t="str">
        <v/>
      </c>
    </row>
    <row r="3520" spans="2:8" x14ac:dyDescent="0.2">
      <c r="B3520" s="87" t="str">
        <v/>
      </c>
      <c r="H3520" s="87" t="str">
        <v/>
      </c>
    </row>
    <row r="3521" spans="2:8" x14ac:dyDescent="0.2">
      <c r="B3521" s="87" t="str">
        <v/>
      </c>
      <c r="H3521" s="87" t="str">
        <v/>
      </c>
    </row>
    <row r="3522" spans="2:8" x14ac:dyDescent="0.2">
      <c r="B3522" s="87" t="str">
        <v/>
      </c>
      <c r="H3522" s="87" t="str">
        <v/>
      </c>
    </row>
    <row r="3523" spans="2:8" x14ac:dyDescent="0.2">
      <c r="B3523" s="87" t="str">
        <v/>
      </c>
      <c r="H3523" s="87" t="str">
        <v/>
      </c>
    </row>
    <row r="3524" spans="2:8" x14ac:dyDescent="0.2">
      <c r="B3524" s="87" t="str">
        <v/>
      </c>
      <c r="H3524" s="87" t="str">
        <v/>
      </c>
    </row>
    <row r="3525" spans="2:8" x14ac:dyDescent="0.2">
      <c r="B3525" s="87" t="str">
        <v/>
      </c>
      <c r="H3525" s="87" t="str">
        <v/>
      </c>
    </row>
    <row r="3526" spans="2:8" x14ac:dyDescent="0.2">
      <c r="B3526" s="87" t="str">
        <v/>
      </c>
      <c r="H3526" s="87" t="str">
        <v/>
      </c>
    </row>
    <row r="3527" spans="2:8" x14ac:dyDescent="0.2">
      <c r="B3527" s="87" t="str">
        <v/>
      </c>
      <c r="H3527" s="87" t="str">
        <v/>
      </c>
    </row>
    <row r="3528" spans="2:8" x14ac:dyDescent="0.2">
      <c r="B3528" s="87" t="str">
        <v/>
      </c>
      <c r="H3528" s="87" t="str">
        <v/>
      </c>
    </row>
    <row r="3529" spans="2:8" x14ac:dyDescent="0.2">
      <c r="B3529" s="87" t="str">
        <v/>
      </c>
      <c r="H3529" s="87" t="str">
        <v/>
      </c>
    </row>
    <row r="3530" spans="2:8" x14ac:dyDescent="0.2">
      <c r="B3530" s="87" t="str">
        <v/>
      </c>
      <c r="H3530" s="87" t="str">
        <v/>
      </c>
    </row>
    <row r="3531" spans="2:8" x14ac:dyDescent="0.2">
      <c r="B3531" s="87" t="str">
        <v/>
      </c>
      <c r="H3531" s="87" t="str">
        <v/>
      </c>
    </row>
    <row r="3532" spans="2:8" x14ac:dyDescent="0.2">
      <c r="B3532" s="87" t="str">
        <v/>
      </c>
      <c r="H3532" s="87" t="str">
        <v/>
      </c>
    </row>
    <row r="3533" spans="2:8" x14ac:dyDescent="0.2">
      <c r="B3533" s="87" t="str">
        <v/>
      </c>
      <c r="H3533" s="87" t="str">
        <v/>
      </c>
    </row>
    <row r="3534" spans="2:8" x14ac:dyDescent="0.2">
      <c r="B3534" s="87" t="str">
        <v/>
      </c>
      <c r="H3534" s="87" t="str">
        <v/>
      </c>
    </row>
    <row r="3535" spans="2:8" x14ac:dyDescent="0.2">
      <c r="B3535" s="87" t="str">
        <v/>
      </c>
      <c r="H3535" s="87" t="str">
        <v/>
      </c>
    </row>
    <row r="3536" spans="2:8" x14ac:dyDescent="0.2">
      <c r="B3536" s="87" t="str">
        <v/>
      </c>
      <c r="H3536" s="87" t="str">
        <v/>
      </c>
    </row>
    <row r="3537" spans="2:8" x14ac:dyDescent="0.2">
      <c r="B3537" s="87" t="str">
        <v/>
      </c>
      <c r="H3537" s="87" t="str">
        <v/>
      </c>
    </row>
    <row r="3538" spans="2:8" x14ac:dyDescent="0.2">
      <c r="B3538" s="87" t="str">
        <v/>
      </c>
      <c r="H3538" s="87" t="str">
        <v/>
      </c>
    </row>
    <row r="3539" spans="2:8" x14ac:dyDescent="0.2">
      <c r="B3539" s="87" t="str">
        <v/>
      </c>
      <c r="H3539" s="87" t="str">
        <v/>
      </c>
    </row>
    <row r="3540" spans="2:8" x14ac:dyDescent="0.2">
      <c r="B3540" s="87" t="str">
        <v/>
      </c>
      <c r="H3540" s="87" t="str">
        <v/>
      </c>
    </row>
    <row r="3541" spans="2:8" x14ac:dyDescent="0.2">
      <c r="B3541" s="87" t="str">
        <v/>
      </c>
      <c r="H3541" s="87" t="str">
        <v/>
      </c>
    </row>
    <row r="3542" spans="2:8" x14ac:dyDescent="0.2">
      <c r="B3542" s="87" t="str">
        <v/>
      </c>
      <c r="H3542" s="87" t="str">
        <v/>
      </c>
    </row>
    <row r="3543" spans="2:8" x14ac:dyDescent="0.2">
      <c r="B3543" s="87" t="str">
        <v/>
      </c>
      <c r="H3543" s="87" t="str">
        <v/>
      </c>
    </row>
    <row r="3544" spans="2:8" x14ac:dyDescent="0.2">
      <c r="B3544" s="87" t="str">
        <v/>
      </c>
      <c r="H3544" s="87" t="str">
        <v/>
      </c>
    </row>
    <row r="3545" spans="2:8" x14ac:dyDescent="0.2">
      <c r="B3545" s="87" t="str">
        <v/>
      </c>
      <c r="H3545" s="87" t="str">
        <v/>
      </c>
    </row>
    <row r="3546" spans="2:8" x14ac:dyDescent="0.2">
      <c r="B3546" s="87" t="str">
        <v/>
      </c>
      <c r="H3546" s="87" t="str">
        <v/>
      </c>
    </row>
    <row r="3547" spans="2:8" x14ac:dyDescent="0.2">
      <c r="B3547" s="87" t="str">
        <v/>
      </c>
      <c r="H3547" s="87" t="str">
        <v/>
      </c>
    </row>
    <row r="3548" spans="2:8" x14ac:dyDescent="0.2">
      <c r="B3548" s="87" t="str">
        <v/>
      </c>
      <c r="H3548" s="87" t="str">
        <v/>
      </c>
    </row>
    <row r="3549" spans="2:8" x14ac:dyDescent="0.2">
      <c r="B3549" s="87" t="str">
        <v/>
      </c>
      <c r="H3549" s="87" t="str">
        <v/>
      </c>
    </row>
    <row r="3550" spans="2:8" x14ac:dyDescent="0.2">
      <c r="B3550" s="87" t="str">
        <v/>
      </c>
      <c r="H3550" s="87" t="str">
        <v/>
      </c>
    </row>
    <row r="3551" spans="2:8" x14ac:dyDescent="0.2">
      <c r="B3551" s="87" t="str">
        <v/>
      </c>
      <c r="H3551" s="87" t="str">
        <v/>
      </c>
    </row>
    <row r="3552" spans="2:8" x14ac:dyDescent="0.2">
      <c r="B3552" s="87" t="str">
        <v/>
      </c>
      <c r="H3552" s="87" t="str">
        <v/>
      </c>
    </row>
    <row r="3553" spans="2:8" x14ac:dyDescent="0.2">
      <c r="B3553" s="87" t="str">
        <v/>
      </c>
      <c r="H3553" s="87" t="str">
        <v/>
      </c>
    </row>
    <row r="3554" spans="2:8" x14ac:dyDescent="0.2">
      <c r="B3554" s="87" t="str">
        <v/>
      </c>
      <c r="H3554" s="87" t="str">
        <v/>
      </c>
    </row>
    <row r="3555" spans="2:8" x14ac:dyDescent="0.2">
      <c r="B3555" s="87" t="str">
        <v/>
      </c>
      <c r="H3555" s="87" t="str">
        <v/>
      </c>
    </row>
    <row r="3556" spans="2:8" x14ac:dyDescent="0.2">
      <c r="B3556" s="87" t="str">
        <v/>
      </c>
      <c r="H3556" s="87" t="str">
        <v/>
      </c>
    </row>
    <row r="3557" spans="2:8" x14ac:dyDescent="0.2">
      <c r="B3557" s="87" t="str">
        <v/>
      </c>
      <c r="H3557" s="87" t="str">
        <v/>
      </c>
    </row>
    <row r="3558" spans="2:8" x14ac:dyDescent="0.2">
      <c r="B3558" s="87" t="str">
        <v/>
      </c>
      <c r="H3558" s="87" t="str">
        <v/>
      </c>
    </row>
    <row r="3559" spans="2:8" x14ac:dyDescent="0.2">
      <c r="B3559" s="87" t="str">
        <v/>
      </c>
      <c r="H3559" s="87" t="str">
        <v/>
      </c>
    </row>
    <row r="3560" spans="2:8" x14ac:dyDescent="0.2">
      <c r="B3560" s="87" t="str">
        <v/>
      </c>
      <c r="H3560" s="87" t="str">
        <v/>
      </c>
    </row>
    <row r="3561" spans="2:8" x14ac:dyDescent="0.2">
      <c r="B3561" s="87" t="str">
        <v/>
      </c>
      <c r="H3561" s="87" t="str">
        <v/>
      </c>
    </row>
    <row r="3562" spans="2:8" x14ac:dyDescent="0.2">
      <c r="B3562" s="87" t="str">
        <v/>
      </c>
      <c r="H3562" s="87" t="str">
        <v/>
      </c>
    </row>
    <row r="3563" spans="2:8" x14ac:dyDescent="0.2">
      <c r="B3563" s="87" t="str">
        <v/>
      </c>
      <c r="H3563" s="87" t="str">
        <v/>
      </c>
    </row>
    <row r="3564" spans="2:8" x14ac:dyDescent="0.2">
      <c r="B3564" s="87" t="str">
        <v/>
      </c>
      <c r="H3564" s="87" t="str">
        <v/>
      </c>
    </row>
    <row r="3565" spans="2:8" x14ac:dyDescent="0.2">
      <c r="B3565" s="87" t="str">
        <v/>
      </c>
      <c r="H3565" s="87" t="str">
        <v/>
      </c>
    </row>
    <row r="3566" spans="2:8" x14ac:dyDescent="0.2">
      <c r="B3566" s="87" t="str">
        <v/>
      </c>
      <c r="H3566" s="87" t="str">
        <v/>
      </c>
    </row>
    <row r="3567" spans="2:8" x14ac:dyDescent="0.2">
      <c r="B3567" s="87" t="str">
        <v/>
      </c>
      <c r="H3567" s="87" t="str">
        <v/>
      </c>
    </row>
    <row r="3568" spans="2:8" x14ac:dyDescent="0.2">
      <c r="B3568" s="87" t="str">
        <v/>
      </c>
      <c r="H3568" s="87" t="str">
        <v/>
      </c>
    </row>
    <row r="3569" spans="2:8" x14ac:dyDescent="0.2">
      <c r="B3569" s="87" t="str">
        <v/>
      </c>
      <c r="H3569" s="87" t="str">
        <v/>
      </c>
    </row>
    <row r="3570" spans="2:8" x14ac:dyDescent="0.2">
      <c r="B3570" s="87" t="str">
        <v/>
      </c>
      <c r="H3570" s="87" t="str">
        <v/>
      </c>
    </row>
    <row r="3571" spans="2:8" x14ac:dyDescent="0.2">
      <c r="B3571" s="87" t="str">
        <v/>
      </c>
      <c r="H3571" s="87" t="str">
        <v/>
      </c>
    </row>
    <row r="3572" spans="2:8" x14ac:dyDescent="0.2">
      <c r="B3572" s="87" t="str">
        <v/>
      </c>
      <c r="H3572" s="87" t="str">
        <v/>
      </c>
    </row>
    <row r="3573" spans="2:8" x14ac:dyDescent="0.2">
      <c r="B3573" s="87" t="str">
        <v/>
      </c>
      <c r="H3573" s="87" t="str">
        <v/>
      </c>
    </row>
    <row r="3574" spans="2:8" x14ac:dyDescent="0.2">
      <c r="B3574" s="87" t="str">
        <v/>
      </c>
      <c r="H3574" s="87" t="str">
        <v/>
      </c>
    </row>
    <row r="3575" spans="2:8" x14ac:dyDescent="0.2">
      <c r="B3575" s="87" t="str">
        <v/>
      </c>
      <c r="H3575" s="87" t="str">
        <v/>
      </c>
    </row>
    <row r="3576" spans="2:8" x14ac:dyDescent="0.2">
      <c r="B3576" s="87" t="str">
        <v/>
      </c>
      <c r="H3576" s="87" t="str">
        <v/>
      </c>
    </row>
    <row r="3577" spans="2:8" x14ac:dyDescent="0.2">
      <c r="B3577" s="87" t="str">
        <v/>
      </c>
      <c r="H3577" s="87" t="str">
        <v/>
      </c>
    </row>
    <row r="3578" spans="2:8" x14ac:dyDescent="0.2">
      <c r="B3578" s="87" t="str">
        <v/>
      </c>
      <c r="H3578" s="87" t="str">
        <v/>
      </c>
    </row>
    <row r="3579" spans="2:8" x14ac:dyDescent="0.2">
      <c r="B3579" s="87" t="str">
        <v/>
      </c>
      <c r="H3579" s="87" t="str">
        <v/>
      </c>
    </row>
    <row r="3580" spans="2:8" x14ac:dyDescent="0.2">
      <c r="B3580" s="87" t="str">
        <v/>
      </c>
      <c r="H3580" s="87" t="str">
        <v/>
      </c>
    </row>
    <row r="3581" spans="2:8" x14ac:dyDescent="0.2">
      <c r="B3581" s="87" t="str">
        <v/>
      </c>
      <c r="H3581" s="87" t="str">
        <v/>
      </c>
    </row>
    <row r="3582" spans="2:8" x14ac:dyDescent="0.2">
      <c r="B3582" s="87" t="str">
        <v/>
      </c>
      <c r="H3582" s="87" t="str">
        <v/>
      </c>
    </row>
    <row r="3583" spans="2:8" x14ac:dyDescent="0.2">
      <c r="B3583" s="87" t="str">
        <v/>
      </c>
      <c r="H3583" s="87" t="str">
        <v/>
      </c>
    </row>
    <row r="3584" spans="2:8" x14ac:dyDescent="0.2">
      <c r="B3584" s="87" t="str">
        <v/>
      </c>
      <c r="H3584" s="87" t="str">
        <v/>
      </c>
    </row>
    <row r="3585" spans="2:8" x14ac:dyDescent="0.2">
      <c r="B3585" s="87" t="str">
        <v/>
      </c>
      <c r="H3585" s="87" t="str">
        <v/>
      </c>
    </row>
    <row r="3586" spans="2:8" x14ac:dyDescent="0.2">
      <c r="B3586" s="87" t="str">
        <v/>
      </c>
      <c r="H3586" s="87" t="str">
        <v/>
      </c>
    </row>
    <row r="3587" spans="2:8" x14ac:dyDescent="0.2">
      <c r="B3587" s="87" t="str">
        <v/>
      </c>
      <c r="H3587" s="87" t="str">
        <v/>
      </c>
    </row>
    <row r="3588" spans="2:8" x14ac:dyDescent="0.2">
      <c r="B3588" s="87" t="str">
        <v/>
      </c>
      <c r="H3588" s="87" t="str">
        <v/>
      </c>
    </row>
    <row r="3589" spans="2:8" x14ac:dyDescent="0.2">
      <c r="B3589" s="87" t="str">
        <v/>
      </c>
      <c r="H3589" s="87" t="str">
        <v/>
      </c>
    </row>
    <row r="3590" spans="2:8" x14ac:dyDescent="0.2">
      <c r="B3590" s="87" t="str">
        <v/>
      </c>
      <c r="H3590" s="87" t="str">
        <v/>
      </c>
    </row>
    <row r="3591" spans="2:8" x14ac:dyDescent="0.2">
      <c r="B3591" s="87" t="str">
        <v/>
      </c>
      <c r="H3591" s="87" t="str">
        <v/>
      </c>
    </row>
    <row r="3592" spans="2:8" x14ac:dyDescent="0.2">
      <c r="B3592" s="87" t="str">
        <v/>
      </c>
      <c r="H3592" s="87" t="str">
        <v/>
      </c>
    </row>
    <row r="3593" spans="2:8" x14ac:dyDescent="0.2">
      <c r="B3593" s="87" t="str">
        <v/>
      </c>
      <c r="H3593" s="87" t="str">
        <v/>
      </c>
    </row>
    <row r="3594" spans="2:8" x14ac:dyDescent="0.2">
      <c r="B3594" s="87" t="str">
        <v/>
      </c>
      <c r="H3594" s="87" t="str">
        <v/>
      </c>
    </row>
    <row r="3595" spans="2:8" x14ac:dyDescent="0.2">
      <c r="B3595" s="87" t="str">
        <v/>
      </c>
      <c r="H3595" s="87" t="str">
        <v/>
      </c>
    </row>
    <row r="3596" spans="2:8" x14ac:dyDescent="0.2">
      <c r="B3596" s="87" t="str">
        <v/>
      </c>
      <c r="H3596" s="87" t="str">
        <v/>
      </c>
    </row>
    <row r="3597" spans="2:8" x14ac:dyDescent="0.2">
      <c r="B3597" s="87" t="str">
        <v/>
      </c>
      <c r="H3597" s="87" t="str">
        <v/>
      </c>
    </row>
    <row r="3598" spans="2:8" x14ac:dyDescent="0.2">
      <c r="B3598" s="87" t="str">
        <v/>
      </c>
      <c r="H3598" s="87" t="str">
        <v/>
      </c>
    </row>
    <row r="3599" spans="2:8" x14ac:dyDescent="0.2">
      <c r="B3599" s="87" t="str">
        <v/>
      </c>
      <c r="H3599" s="87" t="str">
        <v/>
      </c>
    </row>
    <row r="3600" spans="2:8" x14ac:dyDescent="0.2">
      <c r="B3600" s="87" t="str">
        <v/>
      </c>
      <c r="H3600" s="87" t="str">
        <v/>
      </c>
    </row>
    <row r="3601" spans="2:8" x14ac:dyDescent="0.2">
      <c r="B3601" s="87" t="str">
        <v/>
      </c>
      <c r="H3601" s="87" t="str">
        <v/>
      </c>
    </row>
    <row r="3602" spans="2:8" x14ac:dyDescent="0.2">
      <c r="B3602" s="87" t="str">
        <v/>
      </c>
      <c r="H3602" s="87" t="str">
        <v/>
      </c>
    </row>
    <row r="3603" spans="2:8" x14ac:dyDescent="0.2">
      <c r="B3603" s="87" t="str">
        <v/>
      </c>
      <c r="H3603" s="87" t="str">
        <v/>
      </c>
    </row>
    <row r="3604" spans="2:8" x14ac:dyDescent="0.2">
      <c r="B3604" s="87" t="str">
        <v/>
      </c>
      <c r="H3604" s="87" t="str">
        <v/>
      </c>
    </row>
    <row r="3605" spans="2:8" x14ac:dyDescent="0.2">
      <c r="B3605" s="87" t="str">
        <v/>
      </c>
      <c r="H3605" s="87" t="str">
        <v/>
      </c>
    </row>
    <row r="3606" spans="2:8" x14ac:dyDescent="0.2">
      <c r="B3606" s="87" t="str">
        <v/>
      </c>
      <c r="H3606" s="87" t="str">
        <v/>
      </c>
    </row>
    <row r="3607" spans="2:8" x14ac:dyDescent="0.2">
      <c r="B3607" s="87" t="str">
        <v/>
      </c>
      <c r="H3607" s="87" t="str">
        <v/>
      </c>
    </row>
    <row r="3608" spans="2:8" x14ac:dyDescent="0.2">
      <c r="B3608" s="87" t="str">
        <v/>
      </c>
      <c r="H3608" s="87" t="str">
        <v/>
      </c>
    </row>
    <row r="3609" spans="2:8" x14ac:dyDescent="0.2">
      <c r="B3609" s="87" t="str">
        <v/>
      </c>
      <c r="H3609" s="87" t="str">
        <v/>
      </c>
    </row>
    <row r="3610" spans="2:8" x14ac:dyDescent="0.2">
      <c r="B3610" s="87" t="str">
        <v/>
      </c>
      <c r="H3610" s="87" t="str">
        <v/>
      </c>
    </row>
    <row r="3611" spans="2:8" x14ac:dyDescent="0.2">
      <c r="B3611" s="87" t="str">
        <v/>
      </c>
      <c r="H3611" s="87" t="str">
        <v/>
      </c>
    </row>
    <row r="3612" spans="2:8" x14ac:dyDescent="0.2">
      <c r="B3612" s="87" t="str">
        <v/>
      </c>
      <c r="H3612" s="87" t="str">
        <v/>
      </c>
    </row>
    <row r="3613" spans="2:8" x14ac:dyDescent="0.2">
      <c r="B3613" s="87" t="str">
        <v/>
      </c>
      <c r="H3613" s="87" t="str">
        <v/>
      </c>
    </row>
    <row r="3614" spans="2:8" x14ac:dyDescent="0.2">
      <c r="B3614" s="87" t="str">
        <v/>
      </c>
      <c r="H3614" s="87" t="str">
        <v/>
      </c>
    </row>
    <row r="3615" spans="2:8" x14ac:dyDescent="0.2">
      <c r="B3615" s="87" t="str">
        <v/>
      </c>
      <c r="H3615" s="87" t="str">
        <v/>
      </c>
    </row>
    <row r="3616" spans="2:8" x14ac:dyDescent="0.2">
      <c r="B3616" s="87" t="str">
        <v/>
      </c>
      <c r="H3616" s="87" t="str">
        <v/>
      </c>
    </row>
    <row r="3617" spans="2:8" x14ac:dyDescent="0.2">
      <c r="B3617" s="87" t="str">
        <v/>
      </c>
      <c r="H3617" s="87" t="str">
        <v/>
      </c>
    </row>
    <row r="3618" spans="2:8" x14ac:dyDescent="0.2">
      <c r="B3618" s="87" t="str">
        <v/>
      </c>
      <c r="H3618" s="87" t="str">
        <v/>
      </c>
    </row>
    <row r="3619" spans="2:8" x14ac:dyDescent="0.2">
      <c r="B3619" s="87" t="str">
        <v/>
      </c>
      <c r="H3619" s="87" t="str">
        <v/>
      </c>
    </row>
    <row r="3620" spans="2:8" x14ac:dyDescent="0.2">
      <c r="B3620" s="87" t="str">
        <v/>
      </c>
      <c r="H3620" s="87" t="str">
        <v/>
      </c>
    </row>
    <row r="3621" spans="2:8" x14ac:dyDescent="0.2">
      <c r="B3621" s="87" t="str">
        <v/>
      </c>
      <c r="H3621" s="87" t="str">
        <v/>
      </c>
    </row>
    <row r="3622" spans="2:8" x14ac:dyDescent="0.2">
      <c r="B3622" s="87" t="str">
        <v/>
      </c>
      <c r="H3622" s="87" t="str">
        <v/>
      </c>
    </row>
    <row r="3623" spans="2:8" x14ac:dyDescent="0.2">
      <c r="B3623" s="87" t="str">
        <v/>
      </c>
      <c r="H3623" s="87" t="str">
        <v/>
      </c>
    </row>
    <row r="3624" spans="2:8" x14ac:dyDescent="0.2">
      <c r="B3624" s="87" t="str">
        <v/>
      </c>
      <c r="H3624" s="87" t="str">
        <v/>
      </c>
    </row>
    <row r="3625" spans="2:8" x14ac:dyDescent="0.2">
      <c r="B3625" s="87" t="str">
        <v/>
      </c>
      <c r="H3625" s="87" t="str">
        <v/>
      </c>
    </row>
    <row r="3626" spans="2:8" x14ac:dyDescent="0.2">
      <c r="B3626" s="87" t="str">
        <v/>
      </c>
      <c r="H3626" s="87" t="str">
        <v/>
      </c>
    </row>
    <row r="3627" spans="2:8" x14ac:dyDescent="0.2">
      <c r="B3627" s="87" t="str">
        <v/>
      </c>
      <c r="H3627" s="87" t="str">
        <v/>
      </c>
    </row>
    <row r="3628" spans="2:8" x14ac:dyDescent="0.2">
      <c r="B3628" s="87" t="str">
        <v/>
      </c>
      <c r="H3628" s="87" t="str">
        <v/>
      </c>
    </row>
    <row r="3629" spans="2:8" x14ac:dyDescent="0.2">
      <c r="B3629" s="87" t="str">
        <v/>
      </c>
      <c r="H3629" s="87" t="str">
        <v/>
      </c>
    </row>
    <row r="3630" spans="2:8" x14ac:dyDescent="0.2">
      <c r="B3630" s="87" t="str">
        <v/>
      </c>
      <c r="H3630" s="87" t="str">
        <v/>
      </c>
    </row>
    <row r="3631" spans="2:8" x14ac:dyDescent="0.2">
      <c r="B3631" s="87" t="str">
        <v/>
      </c>
      <c r="H3631" s="87" t="str">
        <v/>
      </c>
    </row>
    <row r="3632" spans="2:8" x14ac:dyDescent="0.2">
      <c r="B3632" s="87" t="str">
        <v/>
      </c>
      <c r="H3632" s="87" t="str">
        <v/>
      </c>
    </row>
    <row r="3633" spans="2:8" x14ac:dyDescent="0.2">
      <c r="B3633" s="87" t="str">
        <v/>
      </c>
      <c r="H3633" s="87" t="str">
        <v/>
      </c>
    </row>
    <row r="3634" spans="2:8" x14ac:dyDescent="0.2">
      <c r="B3634" s="87" t="str">
        <v/>
      </c>
      <c r="H3634" s="87" t="str">
        <v/>
      </c>
    </row>
    <row r="3635" spans="2:8" x14ac:dyDescent="0.2">
      <c r="B3635" s="87" t="str">
        <v/>
      </c>
      <c r="H3635" s="87" t="str">
        <v/>
      </c>
    </row>
    <row r="3636" spans="2:8" x14ac:dyDescent="0.2">
      <c r="B3636" s="87" t="str">
        <v/>
      </c>
      <c r="H3636" s="87" t="str">
        <v/>
      </c>
    </row>
    <row r="3637" spans="2:8" x14ac:dyDescent="0.2">
      <c r="B3637" s="87" t="str">
        <v/>
      </c>
      <c r="H3637" s="87" t="str">
        <v/>
      </c>
    </row>
    <row r="3638" spans="2:8" x14ac:dyDescent="0.2">
      <c r="B3638" s="87" t="str">
        <v/>
      </c>
      <c r="H3638" s="87" t="str">
        <v/>
      </c>
    </row>
    <row r="3639" spans="2:8" x14ac:dyDescent="0.2">
      <c r="B3639" s="87" t="str">
        <v/>
      </c>
      <c r="H3639" s="87" t="str">
        <v/>
      </c>
    </row>
    <row r="3640" spans="2:8" x14ac:dyDescent="0.2">
      <c r="B3640" s="87" t="str">
        <v/>
      </c>
      <c r="H3640" s="87" t="str">
        <v/>
      </c>
    </row>
    <row r="3641" spans="2:8" x14ac:dyDescent="0.2">
      <c r="B3641" s="87" t="str">
        <v/>
      </c>
      <c r="H3641" s="87" t="str">
        <v/>
      </c>
    </row>
    <row r="3642" spans="2:8" x14ac:dyDescent="0.2">
      <c r="B3642" s="87" t="str">
        <v/>
      </c>
      <c r="H3642" s="87" t="str">
        <v/>
      </c>
    </row>
    <row r="3643" spans="2:8" x14ac:dyDescent="0.2">
      <c r="B3643" s="87" t="str">
        <v/>
      </c>
      <c r="H3643" s="87" t="str">
        <v/>
      </c>
    </row>
    <row r="3644" spans="2:8" x14ac:dyDescent="0.2">
      <c r="B3644" s="87" t="str">
        <v/>
      </c>
      <c r="H3644" s="87" t="str">
        <v/>
      </c>
    </row>
    <row r="3645" spans="2:8" x14ac:dyDescent="0.2">
      <c r="B3645" s="87" t="str">
        <v/>
      </c>
      <c r="H3645" s="87" t="str">
        <v/>
      </c>
    </row>
    <row r="3646" spans="2:8" x14ac:dyDescent="0.2">
      <c r="B3646" s="87" t="str">
        <v/>
      </c>
      <c r="H3646" s="87" t="str">
        <v/>
      </c>
    </row>
    <row r="3647" spans="2:8" x14ac:dyDescent="0.2">
      <c r="B3647" s="87" t="str">
        <v/>
      </c>
      <c r="H3647" s="87" t="str">
        <v/>
      </c>
    </row>
    <row r="3648" spans="2:8" x14ac:dyDescent="0.2">
      <c r="B3648" s="87" t="str">
        <v/>
      </c>
      <c r="H3648" s="87" t="str">
        <v/>
      </c>
    </row>
    <row r="3649" spans="2:8" x14ac:dyDescent="0.2">
      <c r="B3649" s="87" t="str">
        <v/>
      </c>
      <c r="H3649" s="87" t="str">
        <v/>
      </c>
    </row>
    <row r="3650" spans="2:8" x14ac:dyDescent="0.2">
      <c r="B3650" s="87" t="str">
        <v/>
      </c>
      <c r="H3650" s="87" t="str">
        <v/>
      </c>
    </row>
    <row r="3651" spans="2:8" x14ac:dyDescent="0.2">
      <c r="B3651" s="87" t="str">
        <v/>
      </c>
      <c r="H3651" s="87" t="str">
        <v/>
      </c>
    </row>
    <row r="3652" spans="2:8" x14ac:dyDescent="0.2">
      <c r="B3652" s="87" t="str">
        <v/>
      </c>
      <c r="H3652" s="87" t="str">
        <v/>
      </c>
    </row>
    <row r="3653" spans="2:8" x14ac:dyDescent="0.2">
      <c r="B3653" s="87" t="str">
        <v/>
      </c>
      <c r="H3653" s="87" t="str">
        <v/>
      </c>
    </row>
    <row r="3654" spans="2:8" x14ac:dyDescent="0.2">
      <c r="B3654" s="87" t="str">
        <v/>
      </c>
      <c r="H3654" s="87" t="str">
        <v/>
      </c>
    </row>
    <row r="3655" spans="2:8" x14ac:dyDescent="0.2">
      <c r="B3655" s="87" t="str">
        <v/>
      </c>
      <c r="H3655" s="87" t="str">
        <v/>
      </c>
    </row>
    <row r="3656" spans="2:8" x14ac:dyDescent="0.2">
      <c r="B3656" s="87" t="str">
        <v/>
      </c>
      <c r="H3656" s="87" t="str">
        <v/>
      </c>
    </row>
    <row r="3657" spans="2:8" x14ac:dyDescent="0.2">
      <c r="B3657" s="87" t="str">
        <v/>
      </c>
      <c r="H3657" s="87" t="str">
        <v/>
      </c>
    </row>
    <row r="3658" spans="2:8" x14ac:dyDescent="0.2">
      <c r="B3658" s="87" t="str">
        <v/>
      </c>
      <c r="H3658" s="87" t="str">
        <v/>
      </c>
    </row>
    <row r="3659" spans="2:8" x14ac:dyDescent="0.2">
      <c r="B3659" s="87" t="str">
        <v/>
      </c>
      <c r="H3659" s="87" t="str">
        <v/>
      </c>
    </row>
    <row r="3660" spans="2:8" x14ac:dyDescent="0.2">
      <c r="B3660" s="87" t="str">
        <v/>
      </c>
      <c r="H3660" s="87" t="str">
        <v/>
      </c>
    </row>
    <row r="3661" spans="2:8" x14ac:dyDescent="0.2">
      <c r="B3661" s="87" t="str">
        <v/>
      </c>
      <c r="H3661" s="87" t="str">
        <v/>
      </c>
    </row>
    <row r="3662" spans="2:8" x14ac:dyDescent="0.2">
      <c r="B3662" s="87" t="str">
        <v/>
      </c>
      <c r="H3662" s="87" t="str">
        <v/>
      </c>
    </row>
    <row r="3663" spans="2:8" x14ac:dyDescent="0.2">
      <c r="B3663" s="87" t="str">
        <v/>
      </c>
      <c r="H3663" s="87" t="str">
        <v/>
      </c>
    </row>
    <row r="3664" spans="2:8" x14ac:dyDescent="0.2">
      <c r="B3664" s="87" t="str">
        <v/>
      </c>
      <c r="H3664" s="87" t="str">
        <v/>
      </c>
    </row>
    <row r="3665" spans="2:8" x14ac:dyDescent="0.2">
      <c r="B3665" s="87" t="str">
        <v/>
      </c>
      <c r="H3665" s="87" t="str">
        <v/>
      </c>
    </row>
    <row r="3666" spans="2:8" x14ac:dyDescent="0.2">
      <c r="B3666" s="87" t="str">
        <v/>
      </c>
      <c r="H3666" s="87" t="str">
        <v/>
      </c>
    </row>
    <row r="3667" spans="2:8" x14ac:dyDescent="0.2">
      <c r="B3667" s="87" t="str">
        <v/>
      </c>
      <c r="H3667" s="87" t="str">
        <v/>
      </c>
    </row>
    <row r="3668" spans="2:8" x14ac:dyDescent="0.2">
      <c r="B3668" s="87" t="str">
        <v/>
      </c>
      <c r="H3668" s="87" t="str">
        <v/>
      </c>
    </row>
    <row r="3669" spans="2:8" x14ac:dyDescent="0.2">
      <c r="B3669" s="87" t="str">
        <v/>
      </c>
      <c r="H3669" s="87" t="str">
        <v/>
      </c>
    </row>
    <row r="3670" spans="2:8" x14ac:dyDescent="0.2">
      <c r="B3670" s="87" t="str">
        <v/>
      </c>
      <c r="H3670" s="87" t="str">
        <v/>
      </c>
    </row>
    <row r="3671" spans="2:8" x14ac:dyDescent="0.2">
      <c r="B3671" s="87" t="str">
        <v/>
      </c>
      <c r="H3671" s="87" t="str">
        <v/>
      </c>
    </row>
    <row r="3672" spans="2:8" x14ac:dyDescent="0.2">
      <c r="B3672" s="87" t="str">
        <v/>
      </c>
      <c r="H3672" s="87" t="str">
        <v/>
      </c>
    </row>
    <row r="3673" spans="2:8" x14ac:dyDescent="0.2">
      <c r="B3673" s="87" t="str">
        <v/>
      </c>
      <c r="H3673" s="87" t="str">
        <v/>
      </c>
    </row>
    <row r="3674" spans="2:8" x14ac:dyDescent="0.2">
      <c r="B3674" s="87" t="str">
        <v/>
      </c>
      <c r="H3674" s="87" t="str">
        <v/>
      </c>
    </row>
    <row r="3675" spans="2:8" x14ac:dyDescent="0.2">
      <c r="B3675" s="87" t="str">
        <v/>
      </c>
      <c r="H3675" s="87" t="str">
        <v/>
      </c>
    </row>
    <row r="3676" spans="2:8" x14ac:dyDescent="0.2">
      <c r="B3676" s="87" t="str">
        <v/>
      </c>
      <c r="H3676" s="87" t="str">
        <v/>
      </c>
    </row>
    <row r="3677" spans="2:8" x14ac:dyDescent="0.2">
      <c r="B3677" s="87" t="str">
        <v/>
      </c>
      <c r="H3677" s="87" t="str">
        <v/>
      </c>
    </row>
    <row r="3678" spans="2:8" x14ac:dyDescent="0.2">
      <c r="B3678" s="87" t="str">
        <v/>
      </c>
      <c r="H3678" s="87" t="str">
        <v/>
      </c>
    </row>
    <row r="3679" spans="2:8" x14ac:dyDescent="0.2">
      <c r="B3679" s="87" t="str">
        <v/>
      </c>
      <c r="H3679" s="87" t="str">
        <v/>
      </c>
    </row>
    <row r="3680" spans="2:8" x14ac:dyDescent="0.2">
      <c r="B3680" s="87" t="str">
        <v/>
      </c>
      <c r="H3680" s="87" t="str">
        <v/>
      </c>
    </row>
    <row r="3681" spans="2:8" x14ac:dyDescent="0.2">
      <c r="B3681" s="87" t="str">
        <v/>
      </c>
      <c r="H3681" s="87" t="str">
        <v/>
      </c>
    </row>
    <row r="3682" spans="2:8" x14ac:dyDescent="0.2">
      <c r="B3682" s="87" t="str">
        <v/>
      </c>
      <c r="H3682" s="87" t="str">
        <v/>
      </c>
    </row>
    <row r="3683" spans="2:8" x14ac:dyDescent="0.2">
      <c r="B3683" s="87" t="str">
        <v/>
      </c>
      <c r="H3683" s="87" t="str">
        <v/>
      </c>
    </row>
    <row r="3684" spans="2:8" x14ac:dyDescent="0.2">
      <c r="B3684" s="87" t="str">
        <v/>
      </c>
      <c r="H3684" s="87" t="str">
        <v/>
      </c>
    </row>
    <row r="3685" spans="2:8" x14ac:dyDescent="0.2">
      <c r="B3685" s="87" t="str">
        <v/>
      </c>
      <c r="H3685" s="87" t="str">
        <v/>
      </c>
    </row>
    <row r="3686" spans="2:8" x14ac:dyDescent="0.2">
      <c r="B3686" s="87" t="str">
        <v/>
      </c>
      <c r="H3686" s="87" t="str">
        <v/>
      </c>
    </row>
    <row r="3687" spans="2:8" x14ac:dyDescent="0.2">
      <c r="B3687" s="87" t="str">
        <v/>
      </c>
      <c r="H3687" s="87" t="str">
        <v/>
      </c>
    </row>
    <row r="3688" spans="2:8" x14ac:dyDescent="0.2">
      <c r="B3688" s="87" t="str">
        <v/>
      </c>
      <c r="H3688" s="87" t="str">
        <v/>
      </c>
    </row>
    <row r="3689" spans="2:8" x14ac:dyDescent="0.2">
      <c r="B3689" s="87" t="str">
        <v/>
      </c>
      <c r="H3689" s="87" t="str">
        <v/>
      </c>
    </row>
    <row r="3690" spans="2:8" x14ac:dyDescent="0.2">
      <c r="B3690" s="87" t="str">
        <v/>
      </c>
      <c r="H3690" s="87" t="str">
        <v/>
      </c>
    </row>
    <row r="3691" spans="2:8" x14ac:dyDescent="0.2">
      <c r="B3691" s="87" t="str">
        <v/>
      </c>
      <c r="H3691" s="87" t="str">
        <v/>
      </c>
    </row>
    <row r="3692" spans="2:8" x14ac:dyDescent="0.2">
      <c r="B3692" s="87" t="str">
        <v/>
      </c>
      <c r="H3692" s="87" t="str">
        <v/>
      </c>
    </row>
    <row r="3693" spans="2:8" x14ac:dyDescent="0.2">
      <c r="B3693" s="87" t="str">
        <v/>
      </c>
      <c r="H3693" s="87" t="str">
        <v/>
      </c>
    </row>
    <row r="3694" spans="2:8" x14ac:dyDescent="0.2">
      <c r="B3694" s="87" t="str">
        <v/>
      </c>
      <c r="H3694" s="87" t="str">
        <v/>
      </c>
    </row>
    <row r="3695" spans="2:8" x14ac:dyDescent="0.2">
      <c r="B3695" s="87" t="str">
        <v/>
      </c>
      <c r="H3695" s="87" t="str">
        <v/>
      </c>
    </row>
    <row r="3696" spans="2:8" x14ac:dyDescent="0.2">
      <c r="B3696" s="87" t="str">
        <v/>
      </c>
      <c r="H3696" s="87" t="str">
        <v/>
      </c>
    </row>
    <row r="3697" spans="2:8" x14ac:dyDescent="0.2">
      <c r="B3697" s="87" t="str">
        <v/>
      </c>
      <c r="H3697" s="87" t="str">
        <v/>
      </c>
    </row>
    <row r="3698" spans="2:8" x14ac:dyDescent="0.2">
      <c r="B3698" s="87" t="str">
        <v/>
      </c>
      <c r="H3698" s="87" t="str">
        <v/>
      </c>
    </row>
    <row r="3699" spans="2:8" x14ac:dyDescent="0.2">
      <c r="B3699" s="87" t="str">
        <v/>
      </c>
      <c r="H3699" s="87" t="str">
        <v/>
      </c>
    </row>
    <row r="3700" spans="2:8" x14ac:dyDescent="0.2">
      <c r="B3700" s="87" t="str">
        <v/>
      </c>
      <c r="H3700" s="87" t="str">
        <v/>
      </c>
    </row>
    <row r="3701" spans="2:8" x14ac:dyDescent="0.2">
      <c r="B3701" s="87" t="str">
        <v/>
      </c>
      <c r="H3701" s="87" t="str">
        <v/>
      </c>
    </row>
    <row r="3702" spans="2:8" x14ac:dyDescent="0.2">
      <c r="B3702" s="87" t="str">
        <v/>
      </c>
      <c r="H3702" s="87" t="str">
        <v/>
      </c>
    </row>
    <row r="3703" spans="2:8" x14ac:dyDescent="0.2">
      <c r="B3703" s="87" t="str">
        <v/>
      </c>
      <c r="H3703" s="87" t="str">
        <v/>
      </c>
    </row>
    <row r="3704" spans="2:8" x14ac:dyDescent="0.2">
      <c r="B3704" s="87" t="str">
        <v/>
      </c>
      <c r="H3704" s="87" t="str">
        <v/>
      </c>
    </row>
    <row r="3705" spans="2:8" x14ac:dyDescent="0.2">
      <c r="B3705" s="87" t="str">
        <v/>
      </c>
      <c r="H3705" s="87" t="str">
        <v/>
      </c>
    </row>
    <row r="3706" spans="2:8" x14ac:dyDescent="0.2">
      <c r="B3706" s="87" t="str">
        <v/>
      </c>
      <c r="H3706" s="87" t="str">
        <v/>
      </c>
    </row>
    <row r="3707" spans="2:8" x14ac:dyDescent="0.2">
      <c r="B3707" s="87" t="str">
        <v/>
      </c>
      <c r="H3707" s="87" t="str">
        <v/>
      </c>
    </row>
    <row r="3708" spans="2:8" x14ac:dyDescent="0.2">
      <c r="B3708" s="87" t="str">
        <v/>
      </c>
      <c r="H3708" s="87" t="str">
        <v/>
      </c>
    </row>
    <row r="3709" spans="2:8" x14ac:dyDescent="0.2">
      <c r="B3709" s="87" t="str">
        <v/>
      </c>
      <c r="H3709" s="87" t="str">
        <v/>
      </c>
    </row>
    <row r="3710" spans="2:8" x14ac:dyDescent="0.2">
      <c r="B3710" s="87" t="str">
        <v/>
      </c>
      <c r="H3710" s="87" t="str">
        <v/>
      </c>
    </row>
    <row r="3711" spans="2:8" x14ac:dyDescent="0.2">
      <c r="B3711" s="87" t="str">
        <v/>
      </c>
      <c r="H3711" s="87" t="str">
        <v/>
      </c>
    </row>
    <row r="3712" spans="2:8" x14ac:dyDescent="0.2">
      <c r="B3712" s="87" t="str">
        <v/>
      </c>
      <c r="H3712" s="87" t="str">
        <v/>
      </c>
    </row>
    <row r="3713" spans="2:8" x14ac:dyDescent="0.2">
      <c r="B3713" s="87" t="str">
        <v/>
      </c>
      <c r="H3713" s="87" t="str">
        <v/>
      </c>
    </row>
    <row r="3714" spans="2:8" x14ac:dyDescent="0.2">
      <c r="B3714" s="87" t="str">
        <v/>
      </c>
      <c r="H3714" s="87" t="str">
        <v/>
      </c>
    </row>
    <row r="3715" spans="2:8" x14ac:dyDescent="0.2">
      <c r="B3715" s="87" t="str">
        <v/>
      </c>
      <c r="H3715" s="87" t="str">
        <v/>
      </c>
    </row>
    <row r="3716" spans="2:8" x14ac:dyDescent="0.2">
      <c r="B3716" s="87" t="str">
        <v/>
      </c>
      <c r="H3716" s="87" t="str">
        <v/>
      </c>
    </row>
    <row r="3717" spans="2:8" x14ac:dyDescent="0.2">
      <c r="B3717" s="87" t="str">
        <v/>
      </c>
      <c r="H3717" s="87" t="str">
        <v/>
      </c>
    </row>
    <row r="3718" spans="2:8" x14ac:dyDescent="0.2">
      <c r="B3718" s="87" t="str">
        <v/>
      </c>
      <c r="H3718" s="87" t="str">
        <v/>
      </c>
    </row>
    <row r="3719" spans="2:8" x14ac:dyDescent="0.2">
      <c r="B3719" s="87" t="str">
        <v/>
      </c>
      <c r="H3719" s="87" t="str">
        <v/>
      </c>
    </row>
    <row r="3720" spans="2:8" x14ac:dyDescent="0.2">
      <c r="B3720" s="87" t="str">
        <v/>
      </c>
      <c r="H3720" s="87" t="str">
        <v/>
      </c>
    </row>
    <row r="3721" spans="2:8" x14ac:dyDescent="0.2">
      <c r="B3721" s="87" t="str">
        <v/>
      </c>
      <c r="H3721" s="87" t="str">
        <v/>
      </c>
    </row>
    <row r="3722" spans="2:8" x14ac:dyDescent="0.2">
      <c r="B3722" s="87" t="str">
        <v/>
      </c>
      <c r="H3722" s="87" t="str">
        <v/>
      </c>
    </row>
    <row r="3723" spans="2:8" x14ac:dyDescent="0.2">
      <c r="B3723" s="87" t="str">
        <v/>
      </c>
      <c r="H3723" s="87" t="str">
        <v/>
      </c>
    </row>
    <row r="3724" spans="2:8" x14ac:dyDescent="0.2">
      <c r="B3724" s="87" t="str">
        <v/>
      </c>
      <c r="H3724" s="87" t="str">
        <v/>
      </c>
    </row>
    <row r="3725" spans="2:8" x14ac:dyDescent="0.2">
      <c r="B3725" s="87" t="str">
        <v/>
      </c>
      <c r="H3725" s="87" t="str">
        <v/>
      </c>
    </row>
    <row r="3726" spans="2:8" x14ac:dyDescent="0.2">
      <c r="B3726" s="87" t="str">
        <v/>
      </c>
      <c r="H3726" s="87" t="str">
        <v/>
      </c>
    </row>
    <row r="3727" spans="2:8" x14ac:dyDescent="0.2">
      <c r="B3727" s="87" t="str">
        <v/>
      </c>
      <c r="H3727" s="87" t="str">
        <v/>
      </c>
    </row>
    <row r="3728" spans="2:8" x14ac:dyDescent="0.2">
      <c r="B3728" s="87" t="str">
        <v/>
      </c>
      <c r="H3728" s="87" t="str">
        <v/>
      </c>
    </row>
    <row r="3729" spans="2:8" x14ac:dyDescent="0.2">
      <c r="B3729" s="87" t="str">
        <v/>
      </c>
      <c r="H3729" s="87" t="str">
        <v/>
      </c>
    </row>
    <row r="3730" spans="2:8" x14ac:dyDescent="0.2">
      <c r="B3730" s="87" t="str">
        <v/>
      </c>
      <c r="H3730" s="87" t="str">
        <v/>
      </c>
    </row>
    <row r="3731" spans="2:8" x14ac:dyDescent="0.2">
      <c r="B3731" s="87" t="str">
        <v/>
      </c>
      <c r="H3731" s="87" t="str">
        <v/>
      </c>
    </row>
    <row r="3732" spans="2:8" x14ac:dyDescent="0.2">
      <c r="B3732" s="87" t="str">
        <v/>
      </c>
      <c r="H3732" s="87" t="str">
        <v/>
      </c>
    </row>
    <row r="3733" spans="2:8" x14ac:dyDescent="0.2">
      <c r="B3733" s="87" t="str">
        <v/>
      </c>
      <c r="H3733" s="87" t="str">
        <v/>
      </c>
    </row>
    <row r="3734" spans="2:8" x14ac:dyDescent="0.2">
      <c r="B3734" s="87" t="str">
        <v/>
      </c>
      <c r="H3734" s="87" t="str">
        <v/>
      </c>
    </row>
    <row r="3735" spans="2:8" x14ac:dyDescent="0.2">
      <c r="B3735" s="87" t="str">
        <v/>
      </c>
      <c r="H3735" s="87" t="str">
        <v/>
      </c>
    </row>
    <row r="3736" spans="2:8" x14ac:dyDescent="0.2">
      <c r="B3736" s="87" t="str">
        <v/>
      </c>
      <c r="H3736" s="87" t="str">
        <v/>
      </c>
    </row>
    <row r="3737" spans="2:8" x14ac:dyDescent="0.2">
      <c r="B3737" s="87" t="str">
        <v/>
      </c>
      <c r="H3737" s="87" t="str">
        <v/>
      </c>
    </row>
    <row r="3738" spans="2:8" x14ac:dyDescent="0.2">
      <c r="B3738" s="87" t="str">
        <v/>
      </c>
      <c r="H3738" s="87" t="str">
        <v/>
      </c>
    </row>
    <row r="3739" spans="2:8" x14ac:dyDescent="0.2">
      <c r="B3739" s="87" t="str">
        <v/>
      </c>
      <c r="H3739" s="87" t="str">
        <v/>
      </c>
    </row>
    <row r="3740" spans="2:8" x14ac:dyDescent="0.2">
      <c r="B3740" s="87" t="str">
        <v/>
      </c>
      <c r="H3740" s="87" t="str">
        <v/>
      </c>
    </row>
    <row r="3741" spans="2:8" x14ac:dyDescent="0.2">
      <c r="B3741" s="87" t="str">
        <v/>
      </c>
      <c r="H3741" s="87" t="str">
        <v/>
      </c>
    </row>
    <row r="3742" spans="2:8" x14ac:dyDescent="0.2">
      <c r="B3742" s="87" t="str">
        <v/>
      </c>
      <c r="H3742" s="87" t="str">
        <v/>
      </c>
    </row>
    <row r="3743" spans="2:8" x14ac:dyDescent="0.2">
      <c r="B3743" s="87" t="str">
        <v/>
      </c>
      <c r="H3743" s="87" t="str">
        <v/>
      </c>
    </row>
    <row r="3744" spans="2:8" x14ac:dyDescent="0.2">
      <c r="B3744" s="87" t="str">
        <v/>
      </c>
      <c r="H3744" s="87" t="str">
        <v/>
      </c>
    </row>
    <row r="3745" spans="2:8" x14ac:dyDescent="0.2">
      <c r="B3745" s="87" t="str">
        <v/>
      </c>
      <c r="H3745" s="87" t="str">
        <v/>
      </c>
    </row>
    <row r="3746" spans="2:8" x14ac:dyDescent="0.2">
      <c r="B3746" s="87" t="str">
        <v/>
      </c>
      <c r="H3746" s="87" t="str">
        <v/>
      </c>
    </row>
    <row r="3747" spans="2:8" x14ac:dyDescent="0.2">
      <c r="B3747" s="87" t="str">
        <v/>
      </c>
      <c r="H3747" s="87" t="str">
        <v/>
      </c>
    </row>
    <row r="3748" spans="2:8" x14ac:dyDescent="0.2">
      <c r="B3748" s="87" t="str">
        <v/>
      </c>
      <c r="H3748" s="87" t="str">
        <v/>
      </c>
    </row>
    <row r="3749" spans="2:8" x14ac:dyDescent="0.2">
      <c r="B3749" s="87" t="str">
        <v/>
      </c>
      <c r="H3749" s="87" t="str">
        <v/>
      </c>
    </row>
    <row r="3750" spans="2:8" x14ac:dyDescent="0.2">
      <c r="B3750" s="87" t="str">
        <v/>
      </c>
      <c r="H3750" s="87" t="str">
        <v/>
      </c>
    </row>
    <row r="3751" spans="2:8" x14ac:dyDescent="0.2">
      <c r="B3751" s="87" t="str">
        <v/>
      </c>
      <c r="H3751" s="87" t="str">
        <v/>
      </c>
    </row>
    <row r="3752" spans="2:8" x14ac:dyDescent="0.2">
      <c r="B3752" s="87" t="str">
        <v/>
      </c>
      <c r="H3752" s="87" t="str">
        <v/>
      </c>
    </row>
    <row r="3753" spans="2:8" x14ac:dyDescent="0.2">
      <c r="B3753" s="87" t="str">
        <v/>
      </c>
      <c r="H3753" s="87" t="str">
        <v/>
      </c>
    </row>
    <row r="3754" spans="2:8" x14ac:dyDescent="0.2">
      <c r="B3754" s="87" t="str">
        <v/>
      </c>
      <c r="H3754" s="87" t="str">
        <v/>
      </c>
    </row>
    <row r="3755" spans="2:8" x14ac:dyDescent="0.2">
      <c r="B3755" s="87" t="str">
        <v/>
      </c>
      <c r="H3755" s="87" t="str">
        <v/>
      </c>
    </row>
    <row r="3756" spans="2:8" x14ac:dyDescent="0.2">
      <c r="B3756" s="87" t="str">
        <v/>
      </c>
      <c r="H3756" s="87" t="str">
        <v/>
      </c>
    </row>
    <row r="3757" spans="2:8" x14ac:dyDescent="0.2">
      <c r="B3757" s="87" t="str">
        <v/>
      </c>
      <c r="H3757" s="87" t="str">
        <v/>
      </c>
    </row>
    <row r="3758" spans="2:8" x14ac:dyDescent="0.2">
      <c r="B3758" s="87" t="str">
        <v/>
      </c>
      <c r="H3758" s="87" t="str">
        <v/>
      </c>
    </row>
    <row r="3759" spans="2:8" x14ac:dyDescent="0.2">
      <c r="B3759" s="87" t="str">
        <v/>
      </c>
      <c r="H3759" s="87" t="str">
        <v/>
      </c>
    </row>
    <row r="3760" spans="2:8" x14ac:dyDescent="0.2">
      <c r="B3760" s="87" t="str">
        <v/>
      </c>
      <c r="H3760" s="87" t="str">
        <v/>
      </c>
    </row>
    <row r="3761" spans="2:8" x14ac:dyDescent="0.2">
      <c r="B3761" s="87" t="str">
        <v/>
      </c>
      <c r="H3761" s="87" t="str">
        <v/>
      </c>
    </row>
    <row r="3762" spans="2:8" x14ac:dyDescent="0.2">
      <c r="B3762" s="87" t="str">
        <v/>
      </c>
      <c r="H3762" s="87" t="str">
        <v/>
      </c>
    </row>
    <row r="3763" spans="2:8" x14ac:dyDescent="0.2">
      <c r="B3763" s="87" t="str">
        <v/>
      </c>
      <c r="H3763" s="87" t="str">
        <v/>
      </c>
    </row>
    <row r="3764" spans="2:8" x14ac:dyDescent="0.2">
      <c r="B3764" s="87" t="str">
        <v/>
      </c>
      <c r="H3764" s="87" t="str">
        <v/>
      </c>
    </row>
    <row r="3765" spans="2:8" x14ac:dyDescent="0.2">
      <c r="B3765" s="87" t="str">
        <v/>
      </c>
      <c r="H3765" s="87" t="str">
        <v/>
      </c>
    </row>
    <row r="3766" spans="2:8" x14ac:dyDescent="0.2">
      <c r="B3766" s="87" t="str">
        <v/>
      </c>
      <c r="H3766" s="87" t="str">
        <v/>
      </c>
    </row>
    <row r="3767" spans="2:8" x14ac:dyDescent="0.2">
      <c r="B3767" s="87" t="str">
        <v/>
      </c>
      <c r="H3767" s="87" t="str">
        <v/>
      </c>
    </row>
    <row r="3768" spans="2:8" x14ac:dyDescent="0.2">
      <c r="B3768" s="87" t="str">
        <v/>
      </c>
      <c r="H3768" s="87" t="str">
        <v/>
      </c>
    </row>
    <row r="3769" spans="2:8" x14ac:dyDescent="0.2">
      <c r="B3769" s="87" t="str">
        <v/>
      </c>
      <c r="H3769" s="87" t="str">
        <v/>
      </c>
    </row>
    <row r="3770" spans="2:8" x14ac:dyDescent="0.2">
      <c r="B3770" s="87" t="str">
        <v/>
      </c>
      <c r="H3770" s="87" t="str">
        <v/>
      </c>
    </row>
    <row r="3771" spans="2:8" x14ac:dyDescent="0.2">
      <c r="B3771" s="87" t="str">
        <v/>
      </c>
      <c r="H3771" s="87" t="str">
        <v/>
      </c>
    </row>
    <row r="3772" spans="2:8" x14ac:dyDescent="0.2">
      <c r="B3772" s="87" t="str">
        <v/>
      </c>
      <c r="H3772" s="87" t="str">
        <v/>
      </c>
    </row>
    <row r="3773" spans="2:8" x14ac:dyDescent="0.2">
      <c r="B3773" s="87" t="str">
        <v/>
      </c>
      <c r="H3773" s="87" t="str">
        <v/>
      </c>
    </row>
    <row r="3774" spans="2:8" x14ac:dyDescent="0.2">
      <c r="B3774" s="87" t="str">
        <v/>
      </c>
      <c r="H3774" s="87" t="str">
        <v/>
      </c>
    </row>
    <row r="3775" spans="2:8" x14ac:dyDescent="0.2">
      <c r="B3775" s="87" t="str">
        <v/>
      </c>
      <c r="H3775" s="87" t="str">
        <v/>
      </c>
    </row>
    <row r="3776" spans="2:8" x14ac:dyDescent="0.2">
      <c r="B3776" s="87" t="str">
        <v/>
      </c>
      <c r="H3776" s="87" t="str">
        <v/>
      </c>
    </row>
    <row r="3777" spans="2:8" x14ac:dyDescent="0.2">
      <c r="B3777" s="87" t="str">
        <v/>
      </c>
      <c r="H3777" s="87" t="str">
        <v/>
      </c>
    </row>
    <row r="3778" spans="2:8" x14ac:dyDescent="0.2">
      <c r="B3778" s="87" t="str">
        <v/>
      </c>
      <c r="H3778" s="87" t="str">
        <v/>
      </c>
    </row>
    <row r="3779" spans="2:8" x14ac:dyDescent="0.2">
      <c r="B3779" s="87" t="str">
        <v/>
      </c>
      <c r="H3779" s="87" t="str">
        <v/>
      </c>
    </row>
    <row r="3780" spans="2:8" x14ac:dyDescent="0.2">
      <c r="B3780" s="87" t="str">
        <v/>
      </c>
      <c r="H3780" s="87" t="str">
        <v/>
      </c>
    </row>
    <row r="3781" spans="2:8" x14ac:dyDescent="0.2">
      <c r="B3781" s="87" t="str">
        <v/>
      </c>
      <c r="H3781" s="87" t="str">
        <v/>
      </c>
    </row>
    <row r="3782" spans="2:8" x14ac:dyDescent="0.2">
      <c r="B3782" s="87" t="str">
        <v/>
      </c>
      <c r="H3782" s="87" t="str">
        <v/>
      </c>
    </row>
    <row r="3783" spans="2:8" x14ac:dyDescent="0.2">
      <c r="B3783" s="87" t="str">
        <v/>
      </c>
      <c r="H3783" s="87" t="str">
        <v/>
      </c>
    </row>
    <row r="3784" spans="2:8" x14ac:dyDescent="0.2">
      <c r="B3784" s="87" t="str">
        <v/>
      </c>
      <c r="H3784" s="87" t="str">
        <v/>
      </c>
    </row>
    <row r="3785" spans="2:8" x14ac:dyDescent="0.2">
      <c r="B3785" s="87" t="str">
        <v/>
      </c>
      <c r="H3785" s="87" t="str">
        <v/>
      </c>
    </row>
    <row r="3786" spans="2:8" x14ac:dyDescent="0.2">
      <c r="B3786" s="87" t="str">
        <v/>
      </c>
      <c r="H3786" s="87" t="str">
        <v/>
      </c>
    </row>
    <row r="3787" spans="2:8" x14ac:dyDescent="0.2">
      <c r="B3787" s="87" t="str">
        <v/>
      </c>
      <c r="H3787" s="87" t="str">
        <v/>
      </c>
    </row>
    <row r="3788" spans="2:8" x14ac:dyDescent="0.2">
      <c r="B3788" s="87" t="str">
        <v/>
      </c>
      <c r="H3788" s="87" t="str">
        <v/>
      </c>
    </row>
    <row r="3789" spans="2:8" x14ac:dyDescent="0.2">
      <c r="B3789" s="87" t="str">
        <v/>
      </c>
      <c r="H3789" s="87" t="str">
        <v/>
      </c>
    </row>
    <row r="3790" spans="2:8" x14ac:dyDescent="0.2">
      <c r="B3790" s="87" t="str">
        <v/>
      </c>
      <c r="H3790" s="87" t="str">
        <v/>
      </c>
    </row>
    <row r="3791" spans="2:8" x14ac:dyDescent="0.2">
      <c r="B3791" s="87" t="str">
        <v/>
      </c>
      <c r="H3791" s="87" t="str">
        <v/>
      </c>
    </row>
    <row r="3792" spans="2:8" x14ac:dyDescent="0.2">
      <c r="B3792" s="87" t="str">
        <v/>
      </c>
      <c r="H3792" s="87" t="str">
        <v/>
      </c>
    </row>
    <row r="3793" spans="2:8" x14ac:dyDescent="0.2">
      <c r="B3793" s="87" t="str">
        <v/>
      </c>
      <c r="H3793" s="87" t="str">
        <v/>
      </c>
    </row>
    <row r="3794" spans="2:8" x14ac:dyDescent="0.2">
      <c r="B3794" s="87" t="str">
        <v/>
      </c>
      <c r="H3794" s="87" t="str">
        <v/>
      </c>
    </row>
    <row r="3795" spans="2:8" x14ac:dyDescent="0.2">
      <c r="B3795" s="87" t="str">
        <v/>
      </c>
      <c r="H3795" s="87" t="str">
        <v/>
      </c>
    </row>
    <row r="3796" spans="2:8" x14ac:dyDescent="0.2">
      <c r="B3796" s="87" t="str">
        <v/>
      </c>
      <c r="H3796" s="87" t="str">
        <v/>
      </c>
    </row>
    <row r="3797" spans="2:8" x14ac:dyDescent="0.2">
      <c r="B3797" s="87" t="str">
        <v/>
      </c>
      <c r="H3797" s="87" t="str">
        <v/>
      </c>
    </row>
    <row r="3798" spans="2:8" x14ac:dyDescent="0.2">
      <c r="B3798" s="87" t="str">
        <v/>
      </c>
      <c r="H3798" s="87" t="str">
        <v/>
      </c>
    </row>
    <row r="3799" spans="2:8" x14ac:dyDescent="0.2">
      <c r="B3799" s="87" t="str">
        <v/>
      </c>
      <c r="H3799" s="87" t="str">
        <v/>
      </c>
    </row>
    <row r="3800" spans="2:8" x14ac:dyDescent="0.2">
      <c r="B3800" s="87" t="str">
        <v/>
      </c>
      <c r="H3800" s="87" t="str">
        <v/>
      </c>
    </row>
    <row r="3801" spans="2:8" x14ac:dyDescent="0.2">
      <c r="B3801" s="87" t="str">
        <v/>
      </c>
      <c r="H3801" s="87" t="str">
        <v/>
      </c>
    </row>
    <row r="3802" spans="2:8" x14ac:dyDescent="0.2">
      <c r="B3802" s="87" t="str">
        <v/>
      </c>
      <c r="H3802" s="87" t="str">
        <v/>
      </c>
    </row>
    <row r="3803" spans="2:8" x14ac:dyDescent="0.2">
      <c r="B3803" s="87" t="str">
        <v/>
      </c>
      <c r="H3803" s="87" t="str">
        <v/>
      </c>
    </row>
    <row r="3804" spans="2:8" x14ac:dyDescent="0.2">
      <c r="B3804" s="87" t="str">
        <v/>
      </c>
      <c r="H3804" s="87" t="str">
        <v/>
      </c>
    </row>
    <row r="3805" spans="2:8" x14ac:dyDescent="0.2">
      <c r="B3805" s="87" t="str">
        <v/>
      </c>
      <c r="H3805" s="87" t="str">
        <v/>
      </c>
    </row>
    <row r="3806" spans="2:8" x14ac:dyDescent="0.2">
      <c r="B3806" s="87" t="str">
        <v/>
      </c>
      <c r="H3806" s="87" t="str">
        <v/>
      </c>
    </row>
    <row r="3807" spans="2:8" x14ac:dyDescent="0.2">
      <c r="B3807" s="87" t="str">
        <v/>
      </c>
      <c r="H3807" s="87" t="str">
        <v/>
      </c>
    </row>
    <row r="3808" spans="2:8" x14ac:dyDescent="0.2">
      <c r="B3808" s="87" t="str">
        <v/>
      </c>
      <c r="H3808" s="87" t="str">
        <v/>
      </c>
    </row>
    <row r="3809" spans="2:8" x14ac:dyDescent="0.2">
      <c r="B3809" s="87" t="str">
        <v/>
      </c>
      <c r="H3809" s="87" t="str">
        <v/>
      </c>
    </row>
    <row r="3810" spans="2:8" x14ac:dyDescent="0.2">
      <c r="B3810" s="87" t="str">
        <v/>
      </c>
      <c r="H3810" s="87" t="str">
        <v/>
      </c>
    </row>
    <row r="3811" spans="2:8" x14ac:dyDescent="0.2">
      <c r="B3811" s="87" t="str">
        <v/>
      </c>
      <c r="H3811" s="87" t="str">
        <v/>
      </c>
    </row>
    <row r="3812" spans="2:8" x14ac:dyDescent="0.2">
      <c r="B3812" s="87" t="str">
        <v/>
      </c>
      <c r="H3812" s="87" t="str">
        <v/>
      </c>
    </row>
    <row r="3813" spans="2:8" x14ac:dyDescent="0.2">
      <c r="B3813" s="87" t="str">
        <v/>
      </c>
      <c r="H3813" s="87" t="str">
        <v/>
      </c>
    </row>
    <row r="3814" spans="2:8" x14ac:dyDescent="0.2">
      <c r="B3814" s="87" t="str">
        <v/>
      </c>
      <c r="H3814" s="87" t="str">
        <v/>
      </c>
    </row>
    <row r="3815" spans="2:8" x14ac:dyDescent="0.2">
      <c r="B3815" s="87" t="str">
        <v/>
      </c>
      <c r="H3815" s="87" t="str">
        <v/>
      </c>
    </row>
    <row r="3816" spans="2:8" x14ac:dyDescent="0.2">
      <c r="B3816" s="87" t="str">
        <v/>
      </c>
      <c r="H3816" s="87" t="str">
        <v/>
      </c>
    </row>
    <row r="3817" spans="2:8" x14ac:dyDescent="0.2">
      <c r="B3817" s="87" t="str">
        <v/>
      </c>
      <c r="H3817" s="87" t="str">
        <v/>
      </c>
    </row>
    <row r="3818" spans="2:8" x14ac:dyDescent="0.2">
      <c r="B3818" s="87" t="str">
        <v/>
      </c>
      <c r="H3818" s="87" t="str">
        <v/>
      </c>
    </row>
    <row r="3819" spans="2:8" x14ac:dyDescent="0.2">
      <c r="B3819" s="87" t="str">
        <v/>
      </c>
      <c r="H3819" s="87" t="str">
        <v/>
      </c>
    </row>
    <row r="3820" spans="2:8" x14ac:dyDescent="0.2">
      <c r="B3820" s="87" t="str">
        <v/>
      </c>
      <c r="H3820" s="87" t="str">
        <v/>
      </c>
    </row>
    <row r="3821" spans="2:8" x14ac:dyDescent="0.2">
      <c r="B3821" s="87" t="str">
        <v/>
      </c>
      <c r="H3821" s="87" t="str">
        <v/>
      </c>
    </row>
    <row r="3822" spans="2:8" x14ac:dyDescent="0.2">
      <c r="B3822" s="87" t="str">
        <v/>
      </c>
      <c r="H3822" s="87" t="str">
        <v/>
      </c>
    </row>
    <row r="3823" spans="2:8" x14ac:dyDescent="0.2">
      <c r="B3823" s="87" t="str">
        <v/>
      </c>
      <c r="H3823" s="87" t="str">
        <v/>
      </c>
    </row>
    <row r="3824" spans="2:8" x14ac:dyDescent="0.2">
      <c r="B3824" s="87" t="str">
        <v/>
      </c>
      <c r="H3824" s="87" t="str">
        <v/>
      </c>
    </row>
    <row r="3825" spans="2:8" x14ac:dyDescent="0.2">
      <c r="B3825" s="87" t="str">
        <v/>
      </c>
      <c r="H3825" s="87" t="str">
        <v/>
      </c>
    </row>
    <row r="3826" spans="2:8" x14ac:dyDescent="0.2">
      <c r="B3826" s="87" t="str">
        <v/>
      </c>
      <c r="H3826" s="87" t="str">
        <v/>
      </c>
    </row>
    <row r="3827" spans="2:8" x14ac:dyDescent="0.2">
      <c r="B3827" s="87" t="str">
        <v/>
      </c>
      <c r="H3827" s="87" t="str">
        <v/>
      </c>
    </row>
    <row r="3828" spans="2:8" x14ac:dyDescent="0.2">
      <c r="B3828" s="87" t="str">
        <v/>
      </c>
      <c r="H3828" s="87" t="str">
        <v/>
      </c>
    </row>
    <row r="3829" spans="2:8" x14ac:dyDescent="0.2">
      <c r="B3829" s="87" t="str">
        <v/>
      </c>
      <c r="H3829" s="87" t="str">
        <v/>
      </c>
    </row>
    <row r="3830" spans="2:8" x14ac:dyDescent="0.2">
      <c r="B3830" s="87" t="str">
        <v/>
      </c>
      <c r="H3830" s="87" t="str">
        <v/>
      </c>
    </row>
    <row r="3831" spans="2:8" x14ac:dyDescent="0.2">
      <c r="B3831" s="87" t="str">
        <v/>
      </c>
      <c r="H3831" s="87" t="str">
        <v/>
      </c>
    </row>
    <row r="3832" spans="2:8" x14ac:dyDescent="0.2">
      <c r="B3832" s="87" t="str">
        <v/>
      </c>
      <c r="H3832" s="87" t="str">
        <v/>
      </c>
    </row>
    <row r="3833" spans="2:8" x14ac:dyDescent="0.2">
      <c r="B3833" s="87" t="str">
        <v/>
      </c>
      <c r="H3833" s="87" t="str">
        <v/>
      </c>
    </row>
    <row r="3834" spans="2:8" x14ac:dyDescent="0.2">
      <c r="B3834" s="87" t="str">
        <v/>
      </c>
      <c r="H3834" s="87" t="str">
        <v/>
      </c>
    </row>
    <row r="3835" spans="2:8" x14ac:dyDescent="0.2">
      <c r="B3835" s="87" t="str">
        <v/>
      </c>
      <c r="H3835" s="87" t="str">
        <v/>
      </c>
    </row>
    <row r="3836" spans="2:8" x14ac:dyDescent="0.2">
      <c r="B3836" s="87" t="str">
        <v/>
      </c>
      <c r="H3836" s="87" t="str">
        <v/>
      </c>
    </row>
    <row r="3837" spans="2:8" x14ac:dyDescent="0.2">
      <c r="B3837" s="87" t="str">
        <v/>
      </c>
      <c r="H3837" s="87" t="str">
        <v/>
      </c>
    </row>
    <row r="3838" spans="2:8" x14ac:dyDescent="0.2">
      <c r="B3838" s="87" t="str">
        <v/>
      </c>
      <c r="H3838" s="87" t="str">
        <v/>
      </c>
    </row>
    <row r="3839" spans="2:8" x14ac:dyDescent="0.2">
      <c r="B3839" s="87" t="str">
        <v/>
      </c>
      <c r="H3839" s="87" t="str">
        <v/>
      </c>
    </row>
    <row r="3840" spans="2:8" x14ac:dyDescent="0.2">
      <c r="B3840" s="87" t="str">
        <v/>
      </c>
      <c r="H3840" s="87" t="str">
        <v/>
      </c>
    </row>
    <row r="3841" spans="2:8" x14ac:dyDescent="0.2">
      <c r="B3841" s="87" t="str">
        <v/>
      </c>
      <c r="H3841" s="87" t="str">
        <v/>
      </c>
    </row>
    <row r="3842" spans="2:8" x14ac:dyDescent="0.2">
      <c r="B3842" s="87" t="str">
        <v/>
      </c>
      <c r="H3842" s="87" t="str">
        <v/>
      </c>
    </row>
    <row r="3843" spans="2:8" x14ac:dyDescent="0.2">
      <c r="B3843" s="87" t="str">
        <v/>
      </c>
      <c r="H3843" s="87" t="str">
        <v/>
      </c>
    </row>
    <row r="3844" spans="2:8" x14ac:dyDescent="0.2">
      <c r="B3844" s="87" t="str">
        <v/>
      </c>
      <c r="H3844" s="87" t="str">
        <v/>
      </c>
    </row>
    <row r="3845" spans="2:8" x14ac:dyDescent="0.2">
      <c r="B3845" s="87" t="str">
        <v/>
      </c>
      <c r="H3845" s="87" t="str">
        <v/>
      </c>
    </row>
    <row r="3846" spans="2:8" x14ac:dyDescent="0.2">
      <c r="B3846" s="87" t="str">
        <v/>
      </c>
      <c r="H3846" s="87" t="str">
        <v/>
      </c>
    </row>
    <row r="3847" spans="2:8" x14ac:dyDescent="0.2">
      <c r="B3847" s="87" t="str">
        <v/>
      </c>
      <c r="H3847" s="87" t="str">
        <v/>
      </c>
    </row>
    <row r="3848" spans="2:8" x14ac:dyDescent="0.2">
      <c r="B3848" s="87" t="str">
        <v/>
      </c>
      <c r="H3848" s="87" t="str">
        <v/>
      </c>
    </row>
    <row r="3849" spans="2:8" x14ac:dyDescent="0.2">
      <c r="B3849" s="87" t="str">
        <v/>
      </c>
      <c r="H3849" s="87" t="str">
        <v/>
      </c>
    </row>
    <row r="3850" spans="2:8" x14ac:dyDescent="0.2">
      <c r="B3850" s="87" t="str">
        <v/>
      </c>
      <c r="H3850" s="87" t="str">
        <v/>
      </c>
    </row>
    <row r="3851" spans="2:8" x14ac:dyDescent="0.2">
      <c r="B3851" s="87" t="str">
        <v/>
      </c>
      <c r="H3851" s="87" t="str">
        <v/>
      </c>
    </row>
    <row r="3852" spans="2:8" x14ac:dyDescent="0.2">
      <c r="B3852" s="87" t="str">
        <v/>
      </c>
      <c r="H3852" s="87" t="str">
        <v/>
      </c>
    </row>
    <row r="3853" spans="2:8" x14ac:dyDescent="0.2">
      <c r="B3853" s="87" t="str">
        <v/>
      </c>
      <c r="H3853" s="87" t="str">
        <v/>
      </c>
    </row>
    <row r="3854" spans="2:8" x14ac:dyDescent="0.2">
      <c r="B3854" s="87" t="str">
        <v/>
      </c>
      <c r="H3854" s="87" t="str">
        <v/>
      </c>
    </row>
    <row r="3855" spans="2:8" x14ac:dyDescent="0.2">
      <c r="B3855" s="87" t="str">
        <v/>
      </c>
      <c r="H3855" s="87" t="str">
        <v/>
      </c>
    </row>
    <row r="3856" spans="2:8" x14ac:dyDescent="0.2">
      <c r="B3856" s="87" t="str">
        <v/>
      </c>
      <c r="H3856" s="87" t="str">
        <v/>
      </c>
    </row>
    <row r="3857" spans="2:8" x14ac:dyDescent="0.2">
      <c r="B3857" s="87" t="str">
        <v/>
      </c>
      <c r="H3857" s="87" t="str">
        <v/>
      </c>
    </row>
    <row r="3858" spans="2:8" x14ac:dyDescent="0.2">
      <c r="B3858" s="87" t="str">
        <v/>
      </c>
      <c r="H3858" s="87" t="str">
        <v/>
      </c>
    </row>
    <row r="3859" spans="2:8" x14ac:dyDescent="0.2">
      <c r="B3859" s="87" t="str">
        <v/>
      </c>
      <c r="H3859" s="87" t="str">
        <v/>
      </c>
    </row>
    <row r="3860" spans="2:8" x14ac:dyDescent="0.2">
      <c r="B3860" s="87" t="str">
        <v/>
      </c>
      <c r="H3860" s="87" t="str">
        <v/>
      </c>
    </row>
    <row r="3861" spans="2:8" x14ac:dyDescent="0.2">
      <c r="B3861" s="87" t="str">
        <v/>
      </c>
      <c r="H3861" s="87" t="str">
        <v/>
      </c>
    </row>
    <row r="3862" spans="2:8" x14ac:dyDescent="0.2">
      <c r="B3862" s="87" t="str">
        <v/>
      </c>
      <c r="H3862" s="87" t="str">
        <v/>
      </c>
    </row>
    <row r="3863" spans="2:8" x14ac:dyDescent="0.2">
      <c r="B3863" s="87" t="str">
        <v/>
      </c>
      <c r="H3863" s="87" t="str">
        <v/>
      </c>
    </row>
    <row r="3864" spans="2:8" x14ac:dyDescent="0.2">
      <c r="B3864" s="87" t="str">
        <v/>
      </c>
      <c r="H3864" s="87" t="str">
        <v/>
      </c>
    </row>
    <row r="3865" spans="2:8" x14ac:dyDescent="0.2">
      <c r="B3865" s="87" t="str">
        <v/>
      </c>
      <c r="H3865" s="87" t="str">
        <v/>
      </c>
    </row>
    <row r="3866" spans="2:8" x14ac:dyDescent="0.2">
      <c r="B3866" s="87" t="str">
        <v/>
      </c>
      <c r="H3866" s="87" t="str">
        <v/>
      </c>
    </row>
    <row r="3867" spans="2:8" x14ac:dyDescent="0.2">
      <c r="B3867" s="87" t="str">
        <v/>
      </c>
      <c r="H3867" s="87" t="str">
        <v/>
      </c>
    </row>
    <row r="3868" spans="2:8" x14ac:dyDescent="0.2">
      <c r="B3868" s="87" t="str">
        <v/>
      </c>
      <c r="H3868" s="87" t="str">
        <v/>
      </c>
    </row>
    <row r="3869" spans="2:8" x14ac:dyDescent="0.2">
      <c r="B3869" s="87" t="str">
        <v/>
      </c>
      <c r="H3869" s="87" t="str">
        <v/>
      </c>
    </row>
    <row r="3870" spans="2:8" x14ac:dyDescent="0.2">
      <c r="B3870" s="87" t="str">
        <v/>
      </c>
      <c r="H3870" s="87" t="str">
        <v/>
      </c>
    </row>
    <row r="3871" spans="2:8" x14ac:dyDescent="0.2">
      <c r="B3871" s="87" t="str">
        <v/>
      </c>
      <c r="H3871" s="87" t="str">
        <v/>
      </c>
    </row>
    <row r="3872" spans="2:8" x14ac:dyDescent="0.2">
      <c r="B3872" s="87" t="str">
        <v/>
      </c>
      <c r="H3872" s="87" t="str">
        <v/>
      </c>
    </row>
    <row r="3873" spans="2:8" x14ac:dyDescent="0.2">
      <c r="B3873" s="87" t="str">
        <v/>
      </c>
      <c r="H3873" s="87" t="str">
        <v/>
      </c>
    </row>
    <row r="3874" spans="2:8" x14ac:dyDescent="0.2">
      <c r="B3874" s="87" t="str">
        <v/>
      </c>
      <c r="H3874" s="87" t="str">
        <v/>
      </c>
    </row>
    <row r="3875" spans="2:8" x14ac:dyDescent="0.2">
      <c r="B3875" s="87" t="str">
        <v/>
      </c>
      <c r="H3875" s="87" t="str">
        <v/>
      </c>
    </row>
    <row r="3876" spans="2:8" x14ac:dyDescent="0.2">
      <c r="B3876" s="87" t="str">
        <v/>
      </c>
      <c r="H3876" s="87" t="str">
        <v/>
      </c>
    </row>
    <row r="3877" spans="2:8" x14ac:dyDescent="0.2">
      <c r="B3877" s="87" t="str">
        <v/>
      </c>
      <c r="H3877" s="87" t="str">
        <v/>
      </c>
    </row>
    <row r="3878" spans="2:8" x14ac:dyDescent="0.2">
      <c r="B3878" s="87" t="str">
        <v/>
      </c>
      <c r="H3878" s="87" t="str">
        <v/>
      </c>
    </row>
    <row r="3879" spans="2:8" x14ac:dyDescent="0.2">
      <c r="B3879" s="87" t="str">
        <v/>
      </c>
      <c r="H3879" s="87" t="str">
        <v/>
      </c>
    </row>
    <row r="3880" spans="2:8" x14ac:dyDescent="0.2">
      <c r="B3880" s="87" t="str">
        <v/>
      </c>
      <c r="H3880" s="87" t="str">
        <v/>
      </c>
    </row>
    <row r="3881" spans="2:8" x14ac:dyDescent="0.2">
      <c r="B3881" s="87" t="str">
        <v/>
      </c>
      <c r="H3881" s="87" t="str">
        <v/>
      </c>
    </row>
    <row r="3882" spans="2:8" x14ac:dyDescent="0.2">
      <c r="B3882" s="87" t="str">
        <v/>
      </c>
      <c r="H3882" s="87" t="str">
        <v/>
      </c>
    </row>
    <row r="3883" spans="2:8" x14ac:dyDescent="0.2">
      <c r="B3883" s="87" t="str">
        <v/>
      </c>
      <c r="H3883" s="87" t="str">
        <v/>
      </c>
    </row>
    <row r="3884" spans="2:8" x14ac:dyDescent="0.2">
      <c r="B3884" s="87" t="str">
        <v/>
      </c>
      <c r="H3884" s="87" t="str">
        <v/>
      </c>
    </row>
    <row r="3885" spans="2:8" x14ac:dyDescent="0.2">
      <c r="B3885" s="87" t="str">
        <v/>
      </c>
      <c r="H3885" s="87" t="str">
        <v/>
      </c>
    </row>
    <row r="3886" spans="2:8" x14ac:dyDescent="0.2">
      <c r="B3886" s="87" t="str">
        <v/>
      </c>
      <c r="H3886" s="87" t="str">
        <v/>
      </c>
    </row>
    <row r="3887" spans="2:8" x14ac:dyDescent="0.2">
      <c r="B3887" s="87" t="str">
        <v/>
      </c>
      <c r="H3887" s="87" t="str">
        <v/>
      </c>
    </row>
    <row r="3888" spans="2:8" x14ac:dyDescent="0.2">
      <c r="B3888" s="87" t="str">
        <v/>
      </c>
      <c r="H3888" s="87" t="str">
        <v/>
      </c>
    </row>
    <row r="3889" spans="2:8" x14ac:dyDescent="0.2">
      <c r="B3889" s="87" t="str">
        <v/>
      </c>
      <c r="H3889" s="87" t="str">
        <v/>
      </c>
    </row>
    <row r="3890" spans="2:8" x14ac:dyDescent="0.2">
      <c r="B3890" s="87" t="str">
        <v/>
      </c>
      <c r="H3890" s="87" t="str">
        <v/>
      </c>
    </row>
    <row r="3891" spans="2:8" x14ac:dyDescent="0.2">
      <c r="B3891" s="87" t="str">
        <v/>
      </c>
      <c r="H3891" s="87" t="str">
        <v/>
      </c>
    </row>
    <row r="3892" spans="2:8" x14ac:dyDescent="0.2">
      <c r="B3892" s="87" t="str">
        <v/>
      </c>
      <c r="H3892" s="87" t="str">
        <v/>
      </c>
    </row>
    <row r="3893" spans="2:8" x14ac:dyDescent="0.2">
      <c r="B3893" s="87" t="str">
        <v/>
      </c>
      <c r="H3893" s="87" t="str">
        <v/>
      </c>
    </row>
    <row r="3894" spans="2:8" x14ac:dyDescent="0.2">
      <c r="B3894" s="87" t="str">
        <v/>
      </c>
      <c r="H3894" s="87" t="str">
        <v/>
      </c>
    </row>
    <row r="3895" spans="2:8" x14ac:dyDescent="0.2">
      <c r="B3895" s="87" t="str">
        <v/>
      </c>
      <c r="H3895" s="87" t="str">
        <v/>
      </c>
    </row>
    <row r="3896" spans="2:8" x14ac:dyDescent="0.2">
      <c r="B3896" s="87" t="str">
        <v/>
      </c>
      <c r="H3896" s="87" t="str">
        <v/>
      </c>
    </row>
    <row r="3897" spans="2:8" x14ac:dyDescent="0.2">
      <c r="B3897" s="87" t="str">
        <v/>
      </c>
      <c r="H3897" s="87" t="str">
        <v/>
      </c>
    </row>
    <row r="3898" spans="2:8" x14ac:dyDescent="0.2">
      <c r="B3898" s="87" t="str">
        <v/>
      </c>
      <c r="H3898" s="87" t="str">
        <v/>
      </c>
    </row>
    <row r="3899" spans="2:8" x14ac:dyDescent="0.2">
      <c r="B3899" s="87" t="str">
        <v/>
      </c>
      <c r="H3899" s="87" t="str">
        <v/>
      </c>
    </row>
    <row r="3900" spans="2:8" x14ac:dyDescent="0.2">
      <c r="B3900" s="87" t="str">
        <v/>
      </c>
      <c r="H3900" s="87" t="str">
        <v/>
      </c>
    </row>
    <row r="3901" spans="2:8" x14ac:dyDescent="0.2">
      <c r="B3901" s="87" t="str">
        <v/>
      </c>
      <c r="H3901" s="87" t="str">
        <v/>
      </c>
    </row>
    <row r="3902" spans="2:8" x14ac:dyDescent="0.2">
      <c r="B3902" s="87" t="str">
        <v/>
      </c>
      <c r="H3902" s="87" t="str">
        <v/>
      </c>
    </row>
    <row r="3903" spans="2:8" x14ac:dyDescent="0.2">
      <c r="B3903" s="87" t="str">
        <v/>
      </c>
      <c r="H3903" s="87" t="str">
        <v/>
      </c>
    </row>
    <row r="3904" spans="2:8" x14ac:dyDescent="0.2">
      <c r="B3904" s="87" t="str">
        <v/>
      </c>
      <c r="H3904" s="87" t="str">
        <v/>
      </c>
    </row>
    <row r="3905" spans="2:8" x14ac:dyDescent="0.2">
      <c r="B3905" s="87" t="str">
        <v/>
      </c>
      <c r="H3905" s="87" t="str">
        <v/>
      </c>
    </row>
    <row r="3906" spans="2:8" x14ac:dyDescent="0.2">
      <c r="B3906" s="87" t="str">
        <v/>
      </c>
      <c r="H3906" s="87" t="str">
        <v/>
      </c>
    </row>
    <row r="3907" spans="2:8" x14ac:dyDescent="0.2">
      <c r="B3907" s="87" t="str">
        <v/>
      </c>
      <c r="H3907" s="87" t="str">
        <v/>
      </c>
    </row>
    <row r="3908" spans="2:8" x14ac:dyDescent="0.2">
      <c r="B3908" s="87" t="str">
        <v/>
      </c>
      <c r="H3908" s="87" t="str">
        <v/>
      </c>
    </row>
    <row r="3909" spans="2:8" x14ac:dyDescent="0.2">
      <c r="B3909" s="87" t="str">
        <v/>
      </c>
      <c r="H3909" s="87" t="str">
        <v/>
      </c>
    </row>
    <row r="3910" spans="2:8" x14ac:dyDescent="0.2">
      <c r="B3910" s="87" t="str">
        <v/>
      </c>
      <c r="H3910" s="87" t="str">
        <v/>
      </c>
    </row>
    <row r="3911" spans="2:8" x14ac:dyDescent="0.2">
      <c r="B3911" s="87" t="str">
        <v/>
      </c>
      <c r="H3911" s="87" t="str">
        <v/>
      </c>
    </row>
    <row r="3912" spans="2:8" x14ac:dyDescent="0.2">
      <c r="B3912" s="87" t="str">
        <v/>
      </c>
      <c r="H3912" s="87" t="str">
        <v/>
      </c>
    </row>
    <row r="3913" spans="2:8" x14ac:dyDescent="0.2">
      <c r="B3913" s="87" t="str">
        <v/>
      </c>
      <c r="H3913" s="87" t="str">
        <v/>
      </c>
    </row>
    <row r="3914" spans="2:8" x14ac:dyDescent="0.2">
      <c r="B3914" s="87" t="str">
        <v/>
      </c>
      <c r="H3914" s="87" t="str">
        <v/>
      </c>
    </row>
    <row r="3915" spans="2:8" x14ac:dyDescent="0.2">
      <c r="B3915" s="87" t="str">
        <v/>
      </c>
      <c r="H3915" s="87" t="str">
        <v/>
      </c>
    </row>
    <row r="3916" spans="2:8" x14ac:dyDescent="0.2">
      <c r="B3916" s="87" t="str">
        <v/>
      </c>
      <c r="H3916" s="87" t="str">
        <v/>
      </c>
    </row>
    <row r="3917" spans="2:8" x14ac:dyDescent="0.2">
      <c r="B3917" s="87" t="str">
        <v/>
      </c>
      <c r="H3917" s="87" t="str">
        <v/>
      </c>
    </row>
    <row r="3918" spans="2:8" x14ac:dyDescent="0.2">
      <c r="B3918" s="87" t="str">
        <v/>
      </c>
      <c r="H3918" s="87" t="str">
        <v/>
      </c>
    </row>
    <row r="3919" spans="2:8" x14ac:dyDescent="0.2">
      <c r="B3919" s="87" t="str">
        <v/>
      </c>
      <c r="H3919" s="87" t="str">
        <v/>
      </c>
    </row>
    <row r="3920" spans="2:8" x14ac:dyDescent="0.2">
      <c r="B3920" s="87" t="str">
        <v/>
      </c>
      <c r="H3920" s="87" t="str">
        <v/>
      </c>
    </row>
    <row r="3921" spans="2:8" x14ac:dyDescent="0.2">
      <c r="B3921" s="87" t="str">
        <v/>
      </c>
      <c r="H3921" s="87" t="str">
        <v/>
      </c>
    </row>
    <row r="3922" spans="2:8" x14ac:dyDescent="0.2">
      <c r="B3922" s="87" t="str">
        <v/>
      </c>
      <c r="H3922" s="87" t="str">
        <v/>
      </c>
    </row>
    <row r="3923" spans="2:8" x14ac:dyDescent="0.2">
      <c r="B3923" s="87" t="str">
        <v/>
      </c>
      <c r="H3923" s="87" t="str">
        <v/>
      </c>
    </row>
    <row r="3924" spans="2:8" x14ac:dyDescent="0.2">
      <c r="B3924" s="87" t="str">
        <v/>
      </c>
      <c r="H3924" s="87" t="str">
        <v/>
      </c>
    </row>
    <row r="3925" spans="2:8" x14ac:dyDescent="0.2">
      <c r="B3925" s="87" t="str">
        <v/>
      </c>
      <c r="H3925" s="87" t="str">
        <v/>
      </c>
    </row>
    <row r="3926" spans="2:8" x14ac:dyDescent="0.2">
      <c r="B3926" s="87" t="str">
        <v/>
      </c>
      <c r="H3926" s="87" t="str">
        <v/>
      </c>
    </row>
    <row r="3927" spans="2:8" x14ac:dyDescent="0.2">
      <c r="B3927" s="87" t="str">
        <v/>
      </c>
      <c r="H3927" s="87" t="str">
        <v/>
      </c>
    </row>
    <row r="3928" spans="2:8" x14ac:dyDescent="0.2">
      <c r="B3928" s="87" t="str">
        <v/>
      </c>
      <c r="H3928" s="87" t="str">
        <v/>
      </c>
    </row>
    <row r="3929" spans="2:8" x14ac:dyDescent="0.2">
      <c r="B3929" s="87" t="str">
        <v/>
      </c>
      <c r="H3929" s="87" t="str">
        <v/>
      </c>
    </row>
    <row r="3930" spans="2:8" x14ac:dyDescent="0.2">
      <c r="B3930" s="87" t="str">
        <v/>
      </c>
      <c r="H3930" s="87" t="str">
        <v/>
      </c>
    </row>
    <row r="3931" spans="2:8" x14ac:dyDescent="0.2">
      <c r="B3931" s="87" t="str">
        <v/>
      </c>
      <c r="H3931" s="87" t="str">
        <v/>
      </c>
    </row>
    <row r="3932" spans="2:8" x14ac:dyDescent="0.2">
      <c r="B3932" s="87" t="str">
        <v/>
      </c>
      <c r="H3932" s="87" t="str">
        <v/>
      </c>
    </row>
    <row r="3933" spans="2:8" x14ac:dyDescent="0.2">
      <c r="B3933" s="87" t="str">
        <v/>
      </c>
      <c r="H3933" s="87" t="str">
        <v/>
      </c>
    </row>
    <row r="3934" spans="2:8" x14ac:dyDescent="0.2">
      <c r="B3934" s="87" t="str">
        <v/>
      </c>
      <c r="H3934" s="87" t="str">
        <v/>
      </c>
    </row>
    <row r="3935" spans="2:8" x14ac:dyDescent="0.2">
      <c r="B3935" s="87" t="str">
        <v/>
      </c>
      <c r="H3935" s="87" t="str">
        <v/>
      </c>
    </row>
    <row r="3936" spans="2:8" x14ac:dyDescent="0.2">
      <c r="B3936" s="87" t="str">
        <v/>
      </c>
      <c r="H3936" s="87" t="str">
        <v/>
      </c>
    </row>
    <row r="3937" spans="2:8" x14ac:dyDescent="0.2">
      <c r="B3937" s="87" t="str">
        <v/>
      </c>
      <c r="H3937" s="87" t="str">
        <v/>
      </c>
    </row>
    <row r="3938" spans="2:8" x14ac:dyDescent="0.2">
      <c r="B3938" s="87" t="str">
        <v/>
      </c>
      <c r="H3938" s="87" t="str">
        <v/>
      </c>
    </row>
    <row r="3939" spans="2:8" x14ac:dyDescent="0.2">
      <c r="B3939" s="87" t="str">
        <v/>
      </c>
      <c r="H3939" s="87" t="str">
        <v/>
      </c>
    </row>
    <row r="3940" spans="2:8" x14ac:dyDescent="0.2">
      <c r="B3940" s="87" t="str">
        <v/>
      </c>
      <c r="H3940" s="87" t="str">
        <v/>
      </c>
    </row>
    <row r="3941" spans="2:8" x14ac:dyDescent="0.2">
      <c r="B3941" s="87" t="str">
        <v/>
      </c>
      <c r="H3941" s="87" t="str">
        <v/>
      </c>
    </row>
    <row r="3942" spans="2:8" x14ac:dyDescent="0.2">
      <c r="B3942" s="87" t="str">
        <v/>
      </c>
      <c r="H3942" s="87" t="str">
        <v/>
      </c>
    </row>
    <row r="3943" spans="2:8" x14ac:dyDescent="0.2">
      <c r="B3943" s="87" t="str">
        <v/>
      </c>
      <c r="H3943" s="87" t="str">
        <v/>
      </c>
    </row>
    <row r="3944" spans="2:8" x14ac:dyDescent="0.2">
      <c r="B3944" s="87" t="str">
        <v/>
      </c>
      <c r="H3944" s="87" t="str">
        <v/>
      </c>
    </row>
    <row r="3945" spans="2:8" x14ac:dyDescent="0.2">
      <c r="B3945" s="87" t="str">
        <v/>
      </c>
      <c r="H3945" s="87" t="str">
        <v/>
      </c>
    </row>
    <row r="3946" spans="2:8" x14ac:dyDescent="0.2">
      <c r="B3946" s="87" t="str">
        <v/>
      </c>
      <c r="H3946" s="87" t="str">
        <v/>
      </c>
    </row>
    <row r="3947" spans="2:8" x14ac:dyDescent="0.2">
      <c r="B3947" s="87" t="str">
        <v/>
      </c>
      <c r="H3947" s="87" t="str">
        <v/>
      </c>
    </row>
    <row r="3948" spans="2:8" x14ac:dyDescent="0.2">
      <c r="B3948" s="87" t="str">
        <v/>
      </c>
      <c r="H3948" s="87" t="str">
        <v/>
      </c>
    </row>
    <row r="3949" spans="2:8" x14ac:dyDescent="0.2">
      <c r="B3949" s="87" t="str">
        <v/>
      </c>
      <c r="H3949" s="87" t="str">
        <v/>
      </c>
    </row>
    <row r="3950" spans="2:8" x14ac:dyDescent="0.2">
      <c r="B3950" s="87" t="str">
        <v/>
      </c>
      <c r="H3950" s="87" t="str">
        <v/>
      </c>
    </row>
    <row r="3951" spans="2:8" x14ac:dyDescent="0.2">
      <c r="B3951" s="87" t="str">
        <v/>
      </c>
      <c r="H3951" s="87" t="str">
        <v/>
      </c>
    </row>
    <row r="3952" spans="2:8" x14ac:dyDescent="0.2">
      <c r="B3952" s="87" t="str">
        <v/>
      </c>
      <c r="H3952" s="87" t="str">
        <v/>
      </c>
    </row>
    <row r="3953" spans="2:8" x14ac:dyDescent="0.2">
      <c r="B3953" s="87" t="str">
        <v/>
      </c>
      <c r="H3953" s="87" t="str">
        <v/>
      </c>
    </row>
    <row r="3954" spans="2:8" x14ac:dyDescent="0.2">
      <c r="B3954" s="87" t="str">
        <v/>
      </c>
      <c r="H3954" s="87" t="str">
        <v/>
      </c>
    </row>
    <row r="3955" spans="2:8" x14ac:dyDescent="0.2">
      <c r="B3955" s="87" t="str">
        <v/>
      </c>
      <c r="H3955" s="87" t="str">
        <v/>
      </c>
    </row>
    <row r="3956" spans="2:8" x14ac:dyDescent="0.2">
      <c r="B3956" s="87" t="str">
        <v/>
      </c>
      <c r="H3956" s="87" t="str">
        <v/>
      </c>
    </row>
    <row r="3957" spans="2:8" x14ac:dyDescent="0.2">
      <c r="B3957" s="87" t="str">
        <v/>
      </c>
      <c r="H3957" s="87" t="str">
        <v/>
      </c>
    </row>
    <row r="3958" spans="2:8" x14ac:dyDescent="0.2">
      <c r="B3958" s="87" t="str">
        <v/>
      </c>
      <c r="H3958" s="87" t="str">
        <v/>
      </c>
    </row>
    <row r="3959" spans="2:8" x14ac:dyDescent="0.2">
      <c r="B3959" s="87" t="str">
        <v/>
      </c>
      <c r="H3959" s="87" t="str">
        <v/>
      </c>
    </row>
    <row r="3960" spans="2:8" x14ac:dyDescent="0.2">
      <c r="B3960" s="87" t="str">
        <v/>
      </c>
      <c r="H3960" s="87" t="str">
        <v/>
      </c>
    </row>
    <row r="3961" spans="2:8" x14ac:dyDescent="0.2">
      <c r="B3961" s="87" t="str">
        <v/>
      </c>
      <c r="H3961" s="87" t="str">
        <v/>
      </c>
    </row>
    <row r="3962" spans="2:8" x14ac:dyDescent="0.2">
      <c r="B3962" s="87" t="str">
        <v/>
      </c>
      <c r="H3962" s="87" t="str">
        <v/>
      </c>
    </row>
    <row r="3963" spans="2:8" x14ac:dyDescent="0.2">
      <c r="B3963" s="87" t="str">
        <v/>
      </c>
      <c r="H3963" s="87" t="str">
        <v/>
      </c>
    </row>
    <row r="3964" spans="2:8" x14ac:dyDescent="0.2">
      <c r="B3964" s="87" t="str">
        <v/>
      </c>
      <c r="H3964" s="87" t="str">
        <v/>
      </c>
    </row>
    <row r="3965" spans="2:8" x14ac:dyDescent="0.2">
      <c r="B3965" s="87" t="str">
        <v/>
      </c>
      <c r="H3965" s="87" t="str">
        <v/>
      </c>
    </row>
    <row r="3966" spans="2:8" x14ac:dyDescent="0.2">
      <c r="B3966" s="87" t="str">
        <v/>
      </c>
      <c r="H3966" s="87" t="str">
        <v/>
      </c>
    </row>
    <row r="3967" spans="2:8" x14ac:dyDescent="0.2">
      <c r="B3967" s="87" t="str">
        <v/>
      </c>
      <c r="H3967" s="87" t="str">
        <v/>
      </c>
    </row>
    <row r="3968" spans="2:8" x14ac:dyDescent="0.2">
      <c r="B3968" s="87" t="str">
        <v/>
      </c>
      <c r="H3968" s="87" t="str">
        <v/>
      </c>
    </row>
    <row r="3969" spans="2:8" x14ac:dyDescent="0.2">
      <c r="B3969" s="87" t="str">
        <v/>
      </c>
      <c r="H3969" s="87" t="str">
        <v/>
      </c>
    </row>
    <row r="3970" spans="2:8" x14ac:dyDescent="0.2">
      <c r="B3970" s="87" t="str">
        <v/>
      </c>
      <c r="H3970" s="87" t="str">
        <v/>
      </c>
    </row>
    <row r="3971" spans="2:8" x14ac:dyDescent="0.2">
      <c r="B3971" s="87" t="str">
        <v/>
      </c>
      <c r="H3971" s="87" t="str">
        <v/>
      </c>
    </row>
    <row r="3972" spans="2:8" x14ac:dyDescent="0.2">
      <c r="B3972" s="87" t="str">
        <v/>
      </c>
      <c r="H3972" s="87" t="str">
        <v/>
      </c>
    </row>
    <row r="3973" spans="2:8" x14ac:dyDescent="0.2">
      <c r="B3973" s="87" t="str">
        <v/>
      </c>
      <c r="H3973" s="87" t="str">
        <v/>
      </c>
    </row>
    <row r="3974" spans="2:8" x14ac:dyDescent="0.2">
      <c r="B3974" s="87" t="str">
        <v/>
      </c>
      <c r="H3974" s="87" t="str">
        <v/>
      </c>
    </row>
    <row r="3975" spans="2:8" x14ac:dyDescent="0.2">
      <c r="B3975" s="87" t="str">
        <v/>
      </c>
      <c r="H3975" s="87" t="str">
        <v/>
      </c>
    </row>
    <row r="3976" spans="2:8" x14ac:dyDescent="0.2">
      <c r="B3976" s="87" t="str">
        <v/>
      </c>
      <c r="H3976" s="87" t="str">
        <v/>
      </c>
    </row>
    <row r="3977" spans="2:8" x14ac:dyDescent="0.2">
      <c r="B3977" s="87" t="str">
        <v/>
      </c>
      <c r="H3977" s="87" t="str">
        <v/>
      </c>
    </row>
    <row r="3978" spans="2:8" x14ac:dyDescent="0.2">
      <c r="B3978" s="87" t="str">
        <v/>
      </c>
      <c r="H3978" s="87" t="str">
        <v/>
      </c>
    </row>
    <row r="3979" spans="2:8" x14ac:dyDescent="0.2">
      <c r="B3979" s="87" t="str">
        <v/>
      </c>
      <c r="H3979" s="87" t="str">
        <v/>
      </c>
    </row>
    <row r="3980" spans="2:8" x14ac:dyDescent="0.2">
      <c r="B3980" s="87" t="str">
        <v/>
      </c>
      <c r="H3980" s="87" t="str">
        <v/>
      </c>
    </row>
    <row r="3981" spans="2:8" x14ac:dyDescent="0.2">
      <c r="B3981" s="87" t="str">
        <v/>
      </c>
      <c r="H3981" s="87" t="str">
        <v/>
      </c>
    </row>
    <row r="3982" spans="2:8" x14ac:dyDescent="0.2">
      <c r="B3982" s="87" t="str">
        <v/>
      </c>
      <c r="H3982" s="87" t="str">
        <v/>
      </c>
    </row>
    <row r="3983" spans="2:8" x14ac:dyDescent="0.2">
      <c r="B3983" s="87" t="str">
        <v/>
      </c>
      <c r="H3983" s="87" t="str">
        <v/>
      </c>
    </row>
    <row r="3984" spans="2:8" x14ac:dyDescent="0.2">
      <c r="B3984" s="87" t="str">
        <v/>
      </c>
      <c r="H3984" s="87" t="str">
        <v/>
      </c>
    </row>
    <row r="3985" spans="2:8" x14ac:dyDescent="0.2">
      <c r="B3985" s="87" t="str">
        <v/>
      </c>
      <c r="H3985" s="87" t="str">
        <v/>
      </c>
    </row>
    <row r="3986" spans="2:8" x14ac:dyDescent="0.2">
      <c r="B3986" s="87" t="str">
        <v/>
      </c>
      <c r="H3986" s="87" t="str">
        <v/>
      </c>
    </row>
    <row r="3987" spans="2:8" x14ac:dyDescent="0.2">
      <c r="B3987" s="87" t="str">
        <v/>
      </c>
      <c r="H3987" s="87" t="str">
        <v/>
      </c>
    </row>
    <row r="3988" spans="2:8" x14ac:dyDescent="0.2">
      <c r="B3988" s="87" t="str">
        <v/>
      </c>
      <c r="H3988" s="87" t="str">
        <v/>
      </c>
    </row>
    <row r="3989" spans="2:8" x14ac:dyDescent="0.2">
      <c r="B3989" s="87" t="str">
        <v/>
      </c>
      <c r="H3989" s="87" t="str">
        <v/>
      </c>
    </row>
    <row r="3990" spans="2:8" x14ac:dyDescent="0.2">
      <c r="B3990" s="87" t="str">
        <v/>
      </c>
      <c r="H3990" s="87" t="str">
        <v/>
      </c>
    </row>
    <row r="3991" spans="2:8" x14ac:dyDescent="0.2">
      <c r="B3991" s="87" t="str">
        <v/>
      </c>
      <c r="H3991" s="87" t="str">
        <v/>
      </c>
    </row>
    <row r="3992" spans="2:8" x14ac:dyDescent="0.2">
      <c r="B3992" s="87" t="str">
        <v/>
      </c>
      <c r="H3992" s="87" t="str">
        <v/>
      </c>
    </row>
    <row r="3993" spans="2:8" x14ac:dyDescent="0.2">
      <c r="B3993" s="87" t="str">
        <v/>
      </c>
      <c r="H3993" s="87" t="str">
        <v/>
      </c>
    </row>
    <row r="3994" spans="2:8" x14ac:dyDescent="0.2">
      <c r="B3994" s="87" t="str">
        <v/>
      </c>
      <c r="H3994" s="87" t="str">
        <v/>
      </c>
    </row>
    <row r="3995" spans="2:8" x14ac:dyDescent="0.2">
      <c r="B3995" s="87" t="str">
        <v/>
      </c>
      <c r="H3995" s="87" t="str">
        <v/>
      </c>
    </row>
    <row r="3996" spans="2:8" x14ac:dyDescent="0.2">
      <c r="B3996" s="87" t="str">
        <v/>
      </c>
      <c r="H3996" s="87" t="str">
        <v/>
      </c>
    </row>
    <row r="3997" spans="2:8" x14ac:dyDescent="0.2">
      <c r="B3997" s="87" t="str">
        <v/>
      </c>
      <c r="H3997" s="87" t="str">
        <v/>
      </c>
    </row>
    <row r="3998" spans="2:8" x14ac:dyDescent="0.2">
      <c r="B3998" s="87" t="str">
        <v/>
      </c>
      <c r="H3998" s="87" t="str">
        <v/>
      </c>
    </row>
    <row r="3999" spans="2:8" x14ac:dyDescent="0.2">
      <c r="B3999" s="87" t="str">
        <v/>
      </c>
      <c r="H3999" s="87" t="str">
        <v/>
      </c>
    </row>
    <row r="4000" spans="2:8" x14ac:dyDescent="0.2">
      <c r="B4000" s="87" t="str">
        <v/>
      </c>
      <c r="H4000" s="87" t="str">
        <v/>
      </c>
    </row>
    <row r="4001" spans="2:8" x14ac:dyDescent="0.2">
      <c r="B4001" s="87" t="str">
        <v/>
      </c>
      <c r="H4001" s="87" t="str">
        <v/>
      </c>
    </row>
    <row r="4002" spans="2:8" x14ac:dyDescent="0.2">
      <c r="B4002" s="87" t="str">
        <v/>
      </c>
      <c r="H4002" s="87" t="str">
        <v/>
      </c>
    </row>
    <row r="4003" spans="2:8" x14ac:dyDescent="0.2">
      <c r="B4003" s="87" t="str">
        <v/>
      </c>
      <c r="H4003" s="87" t="str">
        <v/>
      </c>
    </row>
    <row r="4004" spans="2:8" x14ac:dyDescent="0.2">
      <c r="B4004" s="87" t="str">
        <v/>
      </c>
      <c r="H4004" s="87" t="str">
        <v/>
      </c>
    </row>
    <row r="4005" spans="2:8" x14ac:dyDescent="0.2">
      <c r="B4005" s="87" t="str">
        <v/>
      </c>
      <c r="H4005" s="87" t="str">
        <v/>
      </c>
    </row>
    <row r="4006" spans="2:8" x14ac:dyDescent="0.2">
      <c r="B4006" s="87" t="str">
        <v/>
      </c>
      <c r="H4006" s="87" t="str">
        <v/>
      </c>
    </row>
    <row r="4007" spans="2:8" x14ac:dyDescent="0.2">
      <c r="B4007" s="87" t="str">
        <v/>
      </c>
      <c r="H4007" s="87" t="str">
        <v/>
      </c>
    </row>
    <row r="4008" spans="2:8" x14ac:dyDescent="0.2">
      <c r="B4008" s="87" t="str">
        <v/>
      </c>
      <c r="H4008" s="87" t="str">
        <v/>
      </c>
    </row>
    <row r="4009" spans="2:8" x14ac:dyDescent="0.2">
      <c r="B4009" s="87" t="str">
        <v/>
      </c>
      <c r="H4009" s="87" t="str">
        <v/>
      </c>
    </row>
    <row r="4010" spans="2:8" x14ac:dyDescent="0.2">
      <c r="B4010" s="87" t="str">
        <v/>
      </c>
      <c r="H4010" s="87" t="str">
        <v/>
      </c>
    </row>
    <row r="4011" spans="2:8" x14ac:dyDescent="0.2">
      <c r="B4011" s="87" t="str">
        <v/>
      </c>
      <c r="H4011" s="87" t="str">
        <v/>
      </c>
    </row>
    <row r="4012" spans="2:8" x14ac:dyDescent="0.2">
      <c r="B4012" s="87" t="str">
        <v/>
      </c>
      <c r="H4012" s="87" t="str">
        <v/>
      </c>
    </row>
    <row r="4013" spans="2:8" x14ac:dyDescent="0.2">
      <c r="B4013" s="87" t="str">
        <v/>
      </c>
      <c r="H4013" s="87" t="str">
        <v/>
      </c>
    </row>
    <row r="4014" spans="2:8" x14ac:dyDescent="0.2">
      <c r="B4014" s="87" t="str">
        <v/>
      </c>
      <c r="H4014" s="87" t="str">
        <v/>
      </c>
    </row>
    <row r="4015" spans="2:8" x14ac:dyDescent="0.2">
      <c r="B4015" s="87" t="str">
        <v/>
      </c>
      <c r="H4015" s="87" t="str">
        <v/>
      </c>
    </row>
    <row r="4016" spans="2:8" x14ac:dyDescent="0.2">
      <c r="B4016" s="87" t="str">
        <v/>
      </c>
      <c r="H4016" s="87" t="str">
        <v/>
      </c>
    </row>
    <row r="4017" spans="2:8" x14ac:dyDescent="0.2">
      <c r="B4017" s="87" t="str">
        <v/>
      </c>
      <c r="H4017" s="87" t="str">
        <v/>
      </c>
    </row>
    <row r="4018" spans="2:8" x14ac:dyDescent="0.2">
      <c r="B4018" s="87" t="str">
        <v/>
      </c>
      <c r="H4018" s="87" t="str">
        <v/>
      </c>
    </row>
    <row r="4019" spans="2:8" x14ac:dyDescent="0.2">
      <c r="B4019" s="87" t="str">
        <v/>
      </c>
      <c r="H4019" s="87" t="str">
        <v/>
      </c>
    </row>
    <row r="4020" spans="2:8" x14ac:dyDescent="0.2">
      <c r="B4020" s="87" t="str">
        <v/>
      </c>
      <c r="H4020" s="87" t="str">
        <v/>
      </c>
    </row>
    <row r="4021" spans="2:8" x14ac:dyDescent="0.2">
      <c r="B4021" s="87" t="str">
        <v/>
      </c>
      <c r="H4021" s="87" t="str">
        <v/>
      </c>
    </row>
    <row r="4022" spans="2:8" x14ac:dyDescent="0.2">
      <c r="B4022" s="87" t="str">
        <v/>
      </c>
      <c r="H4022" s="87" t="str">
        <v/>
      </c>
    </row>
    <row r="4023" spans="2:8" x14ac:dyDescent="0.2">
      <c r="B4023" s="87" t="str">
        <v/>
      </c>
      <c r="H4023" s="87" t="str">
        <v/>
      </c>
    </row>
    <row r="4024" spans="2:8" x14ac:dyDescent="0.2">
      <c r="B4024" s="87" t="str">
        <v/>
      </c>
      <c r="H4024" s="87" t="str">
        <v/>
      </c>
    </row>
    <row r="4025" spans="2:8" x14ac:dyDescent="0.2">
      <c r="B4025" s="87" t="str">
        <v/>
      </c>
      <c r="H4025" s="87" t="str">
        <v/>
      </c>
    </row>
    <row r="4026" spans="2:8" x14ac:dyDescent="0.2">
      <c r="B4026" s="87" t="str">
        <v/>
      </c>
      <c r="H4026" s="87" t="str">
        <v/>
      </c>
    </row>
    <row r="4027" spans="2:8" x14ac:dyDescent="0.2">
      <c r="B4027" s="87" t="str">
        <v/>
      </c>
      <c r="H4027" s="87" t="str">
        <v/>
      </c>
    </row>
    <row r="4028" spans="2:8" x14ac:dyDescent="0.2">
      <c r="B4028" s="87" t="str">
        <v/>
      </c>
      <c r="H4028" s="87" t="str">
        <v/>
      </c>
    </row>
    <row r="4029" spans="2:8" x14ac:dyDescent="0.2">
      <c r="B4029" s="87" t="str">
        <v/>
      </c>
      <c r="H4029" s="87" t="str">
        <v/>
      </c>
    </row>
    <row r="4030" spans="2:8" x14ac:dyDescent="0.2">
      <c r="B4030" s="87" t="str">
        <v/>
      </c>
      <c r="H4030" s="87" t="str">
        <v/>
      </c>
    </row>
    <row r="4031" spans="2:8" x14ac:dyDescent="0.2">
      <c r="B4031" s="87" t="str">
        <v/>
      </c>
      <c r="H4031" s="87" t="str">
        <v/>
      </c>
    </row>
    <row r="4032" spans="2:8" x14ac:dyDescent="0.2">
      <c r="B4032" s="87" t="str">
        <v/>
      </c>
      <c r="H4032" s="87" t="str">
        <v/>
      </c>
    </row>
    <row r="4033" spans="2:8" x14ac:dyDescent="0.2">
      <c r="B4033" s="87" t="str">
        <v/>
      </c>
      <c r="H4033" s="87" t="str">
        <v/>
      </c>
    </row>
    <row r="4034" spans="2:8" x14ac:dyDescent="0.2">
      <c r="B4034" s="87" t="str">
        <v/>
      </c>
      <c r="H4034" s="87" t="str">
        <v/>
      </c>
    </row>
    <row r="4035" spans="2:8" x14ac:dyDescent="0.2">
      <c r="B4035" s="87" t="str">
        <v/>
      </c>
      <c r="H4035" s="87" t="str">
        <v/>
      </c>
    </row>
    <row r="4036" spans="2:8" x14ac:dyDescent="0.2">
      <c r="B4036" s="87" t="str">
        <v/>
      </c>
      <c r="H4036" s="87" t="str">
        <v/>
      </c>
    </row>
    <row r="4037" spans="2:8" x14ac:dyDescent="0.2">
      <c r="B4037" s="87" t="str">
        <v/>
      </c>
      <c r="H4037" s="87" t="str">
        <v/>
      </c>
    </row>
    <row r="4038" spans="2:8" x14ac:dyDescent="0.2">
      <c r="B4038" s="87" t="str">
        <v/>
      </c>
      <c r="H4038" s="87" t="str">
        <v/>
      </c>
    </row>
    <row r="4039" spans="2:8" x14ac:dyDescent="0.2">
      <c r="B4039" s="87" t="str">
        <v/>
      </c>
      <c r="H4039" s="87" t="str">
        <v/>
      </c>
    </row>
    <row r="4040" spans="2:8" x14ac:dyDescent="0.2">
      <c r="B4040" s="87" t="str">
        <v/>
      </c>
      <c r="H4040" s="87" t="str">
        <v/>
      </c>
    </row>
    <row r="4041" spans="2:8" x14ac:dyDescent="0.2">
      <c r="B4041" s="87" t="str">
        <v/>
      </c>
      <c r="H4041" s="87" t="str">
        <v/>
      </c>
    </row>
    <row r="4042" spans="2:8" x14ac:dyDescent="0.2">
      <c r="B4042" s="87" t="str">
        <v/>
      </c>
      <c r="H4042" s="87" t="str">
        <v/>
      </c>
    </row>
    <row r="4043" spans="2:8" x14ac:dyDescent="0.2">
      <c r="B4043" s="87" t="str">
        <v/>
      </c>
      <c r="H4043" s="87" t="str">
        <v/>
      </c>
    </row>
    <row r="4044" spans="2:8" x14ac:dyDescent="0.2">
      <c r="B4044" s="87" t="str">
        <v/>
      </c>
      <c r="H4044" s="87" t="str">
        <v/>
      </c>
    </row>
    <row r="4045" spans="2:8" x14ac:dyDescent="0.2">
      <c r="B4045" s="87" t="str">
        <v/>
      </c>
      <c r="H4045" s="87" t="str">
        <v/>
      </c>
    </row>
    <row r="4046" spans="2:8" x14ac:dyDescent="0.2">
      <c r="B4046" s="87" t="str">
        <v/>
      </c>
      <c r="H4046" s="87" t="str">
        <v/>
      </c>
    </row>
    <row r="4047" spans="2:8" x14ac:dyDescent="0.2">
      <c r="B4047" s="87" t="str">
        <v/>
      </c>
      <c r="H4047" s="87" t="str">
        <v/>
      </c>
    </row>
    <row r="4048" spans="2:8" x14ac:dyDescent="0.2">
      <c r="B4048" s="87" t="str">
        <v/>
      </c>
      <c r="H4048" s="87" t="str">
        <v/>
      </c>
    </row>
    <row r="4049" spans="2:8" x14ac:dyDescent="0.2">
      <c r="B4049" s="87" t="str">
        <v/>
      </c>
      <c r="H4049" s="87" t="str">
        <v/>
      </c>
    </row>
    <row r="4050" spans="2:8" x14ac:dyDescent="0.2">
      <c r="B4050" s="87" t="str">
        <v/>
      </c>
      <c r="H4050" s="87" t="str">
        <v/>
      </c>
    </row>
    <row r="4051" spans="2:8" x14ac:dyDescent="0.2">
      <c r="B4051" s="87" t="str">
        <v/>
      </c>
      <c r="H4051" s="87" t="str">
        <v/>
      </c>
    </row>
    <row r="4052" spans="2:8" x14ac:dyDescent="0.2">
      <c r="B4052" s="87" t="str">
        <v/>
      </c>
      <c r="H4052" s="87" t="str">
        <v/>
      </c>
    </row>
    <row r="4053" spans="2:8" x14ac:dyDescent="0.2">
      <c r="B4053" s="87" t="str">
        <v/>
      </c>
      <c r="H4053" s="87" t="str">
        <v/>
      </c>
    </row>
    <row r="4054" spans="2:8" x14ac:dyDescent="0.2">
      <c r="B4054" s="87" t="str">
        <v/>
      </c>
      <c r="H4054" s="87" t="str">
        <v/>
      </c>
    </row>
    <row r="4055" spans="2:8" x14ac:dyDescent="0.2">
      <c r="B4055" s="87" t="str">
        <v/>
      </c>
      <c r="H4055" s="87" t="str">
        <v/>
      </c>
    </row>
    <row r="4056" spans="2:8" x14ac:dyDescent="0.2">
      <c r="B4056" s="87" t="str">
        <v/>
      </c>
      <c r="H4056" s="87" t="str">
        <v/>
      </c>
    </row>
    <row r="4057" spans="2:8" x14ac:dyDescent="0.2">
      <c r="B4057" s="87" t="str">
        <v/>
      </c>
      <c r="H4057" s="87" t="str">
        <v/>
      </c>
    </row>
    <row r="4058" spans="2:8" x14ac:dyDescent="0.2">
      <c r="B4058" s="87" t="str">
        <v/>
      </c>
      <c r="H4058" s="87" t="str">
        <v/>
      </c>
    </row>
    <row r="4059" spans="2:8" x14ac:dyDescent="0.2">
      <c r="B4059" s="87" t="str">
        <v/>
      </c>
      <c r="H4059" s="87" t="str">
        <v/>
      </c>
    </row>
    <row r="4060" spans="2:8" x14ac:dyDescent="0.2">
      <c r="B4060" s="87" t="str">
        <v/>
      </c>
      <c r="H4060" s="87" t="str">
        <v/>
      </c>
    </row>
    <row r="4061" spans="2:8" x14ac:dyDescent="0.2">
      <c r="B4061" s="87" t="str">
        <v/>
      </c>
      <c r="H4061" s="87" t="str">
        <v/>
      </c>
    </row>
    <row r="4062" spans="2:8" x14ac:dyDescent="0.2">
      <c r="B4062" s="87" t="str">
        <v/>
      </c>
      <c r="H4062" s="87" t="str">
        <v/>
      </c>
    </row>
    <row r="4063" spans="2:8" x14ac:dyDescent="0.2">
      <c r="B4063" s="87" t="str">
        <v/>
      </c>
      <c r="H4063" s="87" t="str">
        <v/>
      </c>
    </row>
    <row r="4064" spans="2:8" x14ac:dyDescent="0.2">
      <c r="B4064" s="87" t="str">
        <v/>
      </c>
      <c r="H4064" s="87" t="str">
        <v/>
      </c>
    </row>
    <row r="4065" spans="2:8" x14ac:dyDescent="0.2">
      <c r="B4065" s="87" t="str">
        <v/>
      </c>
      <c r="H4065" s="87" t="str">
        <v/>
      </c>
    </row>
    <row r="4066" spans="2:8" x14ac:dyDescent="0.2">
      <c r="B4066" s="87" t="str">
        <v/>
      </c>
      <c r="H4066" s="87" t="str">
        <v/>
      </c>
    </row>
    <row r="4067" spans="2:8" x14ac:dyDescent="0.2">
      <c r="B4067" s="87" t="str">
        <v/>
      </c>
      <c r="H4067" s="87" t="str">
        <v/>
      </c>
    </row>
    <row r="4068" spans="2:8" x14ac:dyDescent="0.2">
      <c r="B4068" s="87" t="str">
        <v/>
      </c>
      <c r="H4068" s="87" t="str">
        <v/>
      </c>
    </row>
    <row r="4069" spans="2:8" x14ac:dyDescent="0.2">
      <c r="B4069" s="87" t="str">
        <v/>
      </c>
      <c r="H4069" s="87" t="str">
        <v/>
      </c>
    </row>
    <row r="4070" spans="2:8" x14ac:dyDescent="0.2">
      <c r="B4070" s="87" t="str">
        <v/>
      </c>
      <c r="H4070" s="87" t="str">
        <v/>
      </c>
    </row>
    <row r="4071" spans="2:8" x14ac:dyDescent="0.2">
      <c r="B4071" s="87" t="str">
        <v/>
      </c>
      <c r="H4071" s="87" t="str">
        <v/>
      </c>
    </row>
    <row r="4072" spans="2:8" x14ac:dyDescent="0.2">
      <c r="B4072" s="87" t="str">
        <v/>
      </c>
      <c r="H4072" s="87" t="str">
        <v/>
      </c>
    </row>
    <row r="4073" spans="2:8" x14ac:dyDescent="0.2">
      <c r="B4073" s="87" t="str">
        <v/>
      </c>
      <c r="H4073" s="87" t="str">
        <v/>
      </c>
    </row>
    <row r="4074" spans="2:8" x14ac:dyDescent="0.2">
      <c r="B4074" s="87" t="str">
        <v/>
      </c>
      <c r="H4074" s="87" t="str">
        <v/>
      </c>
    </row>
    <row r="4075" spans="2:8" x14ac:dyDescent="0.2">
      <c r="B4075" s="87" t="str">
        <v/>
      </c>
      <c r="H4075" s="87" t="str">
        <v/>
      </c>
    </row>
    <row r="4076" spans="2:8" x14ac:dyDescent="0.2">
      <c r="B4076" s="87" t="str">
        <v/>
      </c>
      <c r="H4076" s="87" t="str">
        <v/>
      </c>
    </row>
    <row r="4077" spans="2:8" x14ac:dyDescent="0.2">
      <c r="B4077" s="87" t="str">
        <v/>
      </c>
      <c r="H4077" s="87" t="str">
        <v/>
      </c>
    </row>
    <row r="4078" spans="2:8" x14ac:dyDescent="0.2">
      <c r="B4078" s="87" t="str">
        <v/>
      </c>
      <c r="H4078" s="87" t="str">
        <v/>
      </c>
    </row>
    <row r="4079" spans="2:8" x14ac:dyDescent="0.2">
      <c r="B4079" s="87" t="str">
        <v/>
      </c>
      <c r="H4079" s="87" t="str">
        <v/>
      </c>
    </row>
    <row r="4080" spans="2:8" x14ac:dyDescent="0.2">
      <c r="B4080" s="87" t="str">
        <v/>
      </c>
      <c r="H4080" s="87" t="str">
        <v/>
      </c>
    </row>
    <row r="4081" spans="2:8" x14ac:dyDescent="0.2">
      <c r="B4081" s="87" t="str">
        <v/>
      </c>
      <c r="H4081" s="87" t="str">
        <v/>
      </c>
    </row>
    <row r="4082" spans="2:8" x14ac:dyDescent="0.2">
      <c r="B4082" s="87" t="str">
        <v/>
      </c>
      <c r="H4082" s="87" t="str">
        <v/>
      </c>
    </row>
    <row r="4083" spans="2:8" x14ac:dyDescent="0.2">
      <c r="B4083" s="87" t="str">
        <v/>
      </c>
      <c r="H4083" s="87" t="str">
        <v/>
      </c>
    </row>
    <row r="4084" spans="2:8" x14ac:dyDescent="0.2">
      <c r="B4084" s="87" t="str">
        <v/>
      </c>
      <c r="H4084" s="87" t="str">
        <v/>
      </c>
    </row>
    <row r="4085" spans="2:8" x14ac:dyDescent="0.2">
      <c r="B4085" s="87" t="str">
        <v/>
      </c>
      <c r="H4085" s="87" t="str">
        <v/>
      </c>
    </row>
    <row r="4086" spans="2:8" x14ac:dyDescent="0.2">
      <c r="B4086" s="87" t="str">
        <v/>
      </c>
      <c r="H4086" s="87" t="str">
        <v/>
      </c>
    </row>
    <row r="4087" spans="2:8" x14ac:dyDescent="0.2">
      <c r="B4087" s="87" t="str">
        <v/>
      </c>
      <c r="H4087" s="87" t="str">
        <v/>
      </c>
    </row>
    <row r="4088" spans="2:8" x14ac:dyDescent="0.2">
      <c r="B4088" s="87" t="str">
        <v/>
      </c>
      <c r="H4088" s="87" t="str">
        <v/>
      </c>
    </row>
    <row r="4089" spans="2:8" x14ac:dyDescent="0.2">
      <c r="B4089" s="87" t="str">
        <v/>
      </c>
      <c r="H4089" s="87" t="str">
        <v/>
      </c>
    </row>
    <row r="4090" spans="2:8" x14ac:dyDescent="0.2">
      <c r="B4090" s="87" t="str">
        <v/>
      </c>
      <c r="H4090" s="87" t="str">
        <v/>
      </c>
    </row>
    <row r="4091" spans="2:8" x14ac:dyDescent="0.2">
      <c r="B4091" s="87" t="str">
        <v/>
      </c>
      <c r="H4091" s="87" t="str">
        <v/>
      </c>
    </row>
    <row r="4092" spans="2:8" x14ac:dyDescent="0.2">
      <c r="B4092" s="87" t="str">
        <v/>
      </c>
      <c r="H4092" s="87" t="str">
        <v/>
      </c>
    </row>
    <row r="4093" spans="2:8" x14ac:dyDescent="0.2">
      <c r="B4093" s="87" t="str">
        <v/>
      </c>
      <c r="H4093" s="87" t="str">
        <v/>
      </c>
    </row>
    <row r="4094" spans="2:8" x14ac:dyDescent="0.2">
      <c r="B4094" s="87" t="str">
        <v/>
      </c>
      <c r="H4094" s="87" t="str">
        <v/>
      </c>
    </row>
    <row r="4095" spans="2:8" x14ac:dyDescent="0.2">
      <c r="B4095" s="87" t="str">
        <v/>
      </c>
      <c r="H4095" s="87" t="str">
        <v/>
      </c>
    </row>
    <row r="4096" spans="2:8" x14ac:dyDescent="0.2">
      <c r="B4096" s="87" t="str">
        <v/>
      </c>
      <c r="H4096" s="87" t="str">
        <v/>
      </c>
    </row>
    <row r="4097" spans="2:8" x14ac:dyDescent="0.2">
      <c r="B4097" s="87" t="str">
        <v/>
      </c>
      <c r="H4097" s="87" t="str">
        <v/>
      </c>
    </row>
    <row r="4098" spans="2:8" x14ac:dyDescent="0.2">
      <c r="B4098" s="87" t="str">
        <v/>
      </c>
      <c r="H4098" s="87" t="str">
        <v/>
      </c>
    </row>
    <row r="4099" spans="2:8" x14ac:dyDescent="0.2">
      <c r="B4099" s="87" t="str">
        <v/>
      </c>
      <c r="H4099" s="87" t="str">
        <v/>
      </c>
    </row>
    <row r="4100" spans="2:8" x14ac:dyDescent="0.2">
      <c r="B4100" s="87" t="str">
        <v/>
      </c>
      <c r="H4100" s="87" t="str">
        <v/>
      </c>
    </row>
    <row r="4101" spans="2:8" x14ac:dyDescent="0.2">
      <c r="B4101" s="87" t="str">
        <v/>
      </c>
      <c r="H4101" s="87" t="str">
        <v/>
      </c>
    </row>
    <row r="4102" spans="2:8" x14ac:dyDescent="0.2">
      <c r="B4102" s="87" t="str">
        <v/>
      </c>
      <c r="H4102" s="87" t="str">
        <v/>
      </c>
    </row>
    <row r="4103" spans="2:8" x14ac:dyDescent="0.2">
      <c r="B4103" s="87" t="str">
        <v/>
      </c>
      <c r="H4103" s="87" t="str">
        <v/>
      </c>
    </row>
    <row r="4104" spans="2:8" x14ac:dyDescent="0.2">
      <c r="B4104" s="87" t="str">
        <v/>
      </c>
      <c r="H4104" s="87" t="str">
        <v/>
      </c>
    </row>
    <row r="4105" spans="2:8" x14ac:dyDescent="0.2">
      <c r="B4105" s="87" t="str">
        <v/>
      </c>
      <c r="H4105" s="87" t="str">
        <v/>
      </c>
    </row>
    <row r="4106" spans="2:8" x14ac:dyDescent="0.2">
      <c r="B4106" s="87" t="str">
        <v/>
      </c>
      <c r="H4106" s="87" t="str">
        <v/>
      </c>
    </row>
    <row r="4107" spans="2:8" x14ac:dyDescent="0.2">
      <c r="B4107" s="87" t="str">
        <v/>
      </c>
      <c r="H4107" s="87" t="str">
        <v/>
      </c>
    </row>
    <row r="4108" spans="2:8" x14ac:dyDescent="0.2">
      <c r="B4108" s="87" t="str">
        <v/>
      </c>
      <c r="H4108" s="87" t="str">
        <v/>
      </c>
    </row>
    <row r="4109" spans="2:8" x14ac:dyDescent="0.2">
      <c r="B4109" s="87" t="str">
        <v/>
      </c>
      <c r="H4109" s="87" t="str">
        <v/>
      </c>
    </row>
    <row r="4110" spans="2:8" x14ac:dyDescent="0.2">
      <c r="B4110" s="87" t="str">
        <v/>
      </c>
      <c r="H4110" s="87" t="str">
        <v/>
      </c>
    </row>
    <row r="4111" spans="2:8" x14ac:dyDescent="0.2">
      <c r="B4111" s="87" t="str">
        <v/>
      </c>
      <c r="H4111" s="87" t="str">
        <v/>
      </c>
    </row>
    <row r="4112" spans="2:8" x14ac:dyDescent="0.2">
      <c r="B4112" s="87" t="str">
        <v/>
      </c>
      <c r="H4112" s="87" t="str">
        <v/>
      </c>
    </row>
    <row r="4113" spans="2:8" x14ac:dyDescent="0.2">
      <c r="B4113" s="87" t="str">
        <v/>
      </c>
      <c r="H4113" s="87" t="str">
        <v/>
      </c>
    </row>
    <row r="4114" spans="2:8" x14ac:dyDescent="0.2">
      <c r="B4114" s="87" t="str">
        <v/>
      </c>
      <c r="H4114" s="87" t="str">
        <v/>
      </c>
    </row>
    <row r="4115" spans="2:8" x14ac:dyDescent="0.2">
      <c r="B4115" s="87" t="str">
        <v/>
      </c>
      <c r="H4115" s="87" t="str">
        <v/>
      </c>
    </row>
    <row r="4116" spans="2:8" x14ac:dyDescent="0.2">
      <c r="B4116" s="87" t="str">
        <v/>
      </c>
      <c r="H4116" s="87" t="str">
        <v/>
      </c>
    </row>
    <row r="4117" spans="2:8" x14ac:dyDescent="0.2">
      <c r="B4117" s="87" t="str">
        <v/>
      </c>
      <c r="H4117" s="87" t="str">
        <v/>
      </c>
    </row>
    <row r="4118" spans="2:8" x14ac:dyDescent="0.2">
      <c r="B4118" s="87" t="str">
        <v/>
      </c>
      <c r="H4118" s="87" t="str">
        <v/>
      </c>
    </row>
    <row r="4119" spans="2:8" x14ac:dyDescent="0.2">
      <c r="B4119" s="87" t="str">
        <v/>
      </c>
      <c r="H4119" s="87" t="str">
        <v/>
      </c>
    </row>
    <row r="4120" spans="2:8" x14ac:dyDescent="0.2">
      <c r="B4120" s="87" t="str">
        <v/>
      </c>
      <c r="H4120" s="87" t="str">
        <v/>
      </c>
    </row>
    <row r="4121" spans="2:8" x14ac:dyDescent="0.2">
      <c r="B4121" s="87" t="str">
        <v/>
      </c>
      <c r="H4121" s="87" t="str">
        <v/>
      </c>
    </row>
    <row r="4122" spans="2:8" x14ac:dyDescent="0.2">
      <c r="B4122" s="87" t="str">
        <v/>
      </c>
      <c r="H4122" s="87" t="str">
        <v/>
      </c>
    </row>
    <row r="4123" spans="2:8" x14ac:dyDescent="0.2">
      <c r="B4123" s="87" t="str">
        <v/>
      </c>
      <c r="H4123" s="87" t="str">
        <v/>
      </c>
    </row>
    <row r="4124" spans="2:8" x14ac:dyDescent="0.2">
      <c r="B4124" s="87" t="str">
        <v/>
      </c>
      <c r="H4124" s="87" t="str">
        <v/>
      </c>
    </row>
    <row r="4125" spans="2:8" x14ac:dyDescent="0.2">
      <c r="B4125" s="87" t="str">
        <v/>
      </c>
      <c r="H4125" s="87" t="str">
        <v/>
      </c>
    </row>
    <row r="4126" spans="2:8" x14ac:dyDescent="0.2">
      <c r="B4126" s="87" t="str">
        <v/>
      </c>
      <c r="H4126" s="87" t="str">
        <v/>
      </c>
    </row>
    <row r="4127" spans="2:8" x14ac:dyDescent="0.2">
      <c r="B4127" s="87" t="str">
        <v/>
      </c>
      <c r="H4127" s="87" t="str">
        <v/>
      </c>
    </row>
    <row r="4128" spans="2:8" x14ac:dyDescent="0.2">
      <c r="B4128" s="87" t="str">
        <v/>
      </c>
      <c r="H4128" s="87" t="str">
        <v/>
      </c>
    </row>
    <row r="4129" spans="2:8" x14ac:dyDescent="0.2">
      <c r="B4129" s="87" t="str">
        <v/>
      </c>
      <c r="H4129" s="87" t="str">
        <v/>
      </c>
    </row>
    <row r="4130" spans="2:8" x14ac:dyDescent="0.2">
      <c r="B4130" s="87" t="str">
        <v/>
      </c>
      <c r="H4130" s="87" t="str">
        <v/>
      </c>
    </row>
    <row r="4131" spans="2:8" x14ac:dyDescent="0.2">
      <c r="B4131" s="87" t="str">
        <v/>
      </c>
      <c r="H4131" s="87" t="str">
        <v/>
      </c>
    </row>
    <row r="4132" spans="2:8" x14ac:dyDescent="0.2">
      <c r="B4132" s="87" t="str">
        <v/>
      </c>
      <c r="H4132" s="87" t="str">
        <v/>
      </c>
    </row>
    <row r="4133" spans="2:8" x14ac:dyDescent="0.2">
      <c r="B4133" s="87" t="str">
        <v/>
      </c>
      <c r="H4133" s="87" t="str">
        <v/>
      </c>
    </row>
    <row r="4134" spans="2:8" x14ac:dyDescent="0.2">
      <c r="B4134" s="87" t="str">
        <v/>
      </c>
      <c r="H4134" s="87" t="str">
        <v/>
      </c>
    </row>
    <row r="4135" spans="2:8" x14ac:dyDescent="0.2">
      <c r="B4135" s="87" t="str">
        <v/>
      </c>
      <c r="H4135" s="87" t="str">
        <v/>
      </c>
    </row>
    <row r="4136" spans="2:8" x14ac:dyDescent="0.2">
      <c r="B4136" s="87" t="str">
        <v/>
      </c>
      <c r="H4136" s="87" t="str">
        <v/>
      </c>
    </row>
    <row r="4137" spans="2:8" x14ac:dyDescent="0.2">
      <c r="B4137" s="87" t="str">
        <v/>
      </c>
      <c r="H4137" s="87" t="str">
        <v/>
      </c>
    </row>
    <row r="4138" spans="2:8" x14ac:dyDescent="0.2">
      <c r="B4138" s="87" t="str">
        <v/>
      </c>
      <c r="H4138" s="87" t="str">
        <v/>
      </c>
    </row>
    <row r="4139" spans="2:8" x14ac:dyDescent="0.2">
      <c r="B4139" s="87" t="str">
        <v/>
      </c>
      <c r="H4139" s="87" t="str">
        <v/>
      </c>
    </row>
    <row r="4140" spans="2:8" x14ac:dyDescent="0.2">
      <c r="B4140" s="87" t="str">
        <v/>
      </c>
      <c r="H4140" s="87" t="str">
        <v/>
      </c>
    </row>
    <row r="4141" spans="2:8" x14ac:dyDescent="0.2">
      <c r="B4141" s="87" t="str">
        <v/>
      </c>
      <c r="H4141" s="87" t="str">
        <v/>
      </c>
    </row>
    <row r="4142" spans="2:8" x14ac:dyDescent="0.2">
      <c r="B4142" s="87" t="str">
        <v/>
      </c>
      <c r="H4142" s="87" t="str">
        <v/>
      </c>
    </row>
    <row r="4143" spans="2:8" x14ac:dyDescent="0.2">
      <c r="B4143" s="87" t="str">
        <v/>
      </c>
      <c r="H4143" s="87" t="str">
        <v/>
      </c>
    </row>
    <row r="4144" spans="2:8" x14ac:dyDescent="0.2">
      <c r="B4144" s="87" t="str">
        <v/>
      </c>
      <c r="H4144" s="87" t="str">
        <v/>
      </c>
    </row>
    <row r="4145" spans="2:8" x14ac:dyDescent="0.2">
      <c r="B4145" s="87" t="str">
        <v/>
      </c>
      <c r="H4145" s="87" t="str">
        <v/>
      </c>
    </row>
    <row r="4146" spans="2:8" x14ac:dyDescent="0.2">
      <c r="B4146" s="87" t="str">
        <v/>
      </c>
      <c r="H4146" s="87" t="str">
        <v/>
      </c>
    </row>
    <row r="4147" spans="2:8" x14ac:dyDescent="0.2">
      <c r="B4147" s="87" t="str">
        <v/>
      </c>
      <c r="H4147" s="87" t="str">
        <v/>
      </c>
    </row>
    <row r="4148" spans="2:8" x14ac:dyDescent="0.2">
      <c r="B4148" s="87" t="str">
        <v/>
      </c>
      <c r="H4148" s="87" t="str">
        <v/>
      </c>
    </row>
    <row r="4149" spans="2:8" x14ac:dyDescent="0.2">
      <c r="B4149" s="87" t="str">
        <v/>
      </c>
      <c r="H4149" s="87" t="str">
        <v/>
      </c>
    </row>
    <row r="4150" spans="2:8" x14ac:dyDescent="0.2">
      <c r="B4150" s="87" t="str">
        <v/>
      </c>
      <c r="H4150" s="87" t="str">
        <v/>
      </c>
    </row>
    <row r="4151" spans="2:8" x14ac:dyDescent="0.2">
      <c r="B4151" s="87" t="str">
        <v/>
      </c>
      <c r="H4151" s="87" t="str">
        <v/>
      </c>
    </row>
    <row r="4152" spans="2:8" x14ac:dyDescent="0.2">
      <c r="B4152" s="87" t="str">
        <v/>
      </c>
      <c r="H4152" s="87" t="str">
        <v/>
      </c>
    </row>
    <row r="4153" spans="2:8" x14ac:dyDescent="0.2">
      <c r="B4153" s="87" t="str">
        <v/>
      </c>
      <c r="H4153" s="87" t="str">
        <v/>
      </c>
    </row>
    <row r="4154" spans="2:8" x14ac:dyDescent="0.2">
      <c r="B4154" s="87" t="str">
        <v/>
      </c>
      <c r="H4154" s="87" t="str">
        <v/>
      </c>
    </row>
    <row r="4155" spans="2:8" x14ac:dyDescent="0.2">
      <c r="B4155" s="87" t="str">
        <v/>
      </c>
      <c r="H4155" s="87" t="str">
        <v/>
      </c>
    </row>
    <row r="4156" spans="2:8" x14ac:dyDescent="0.2">
      <c r="B4156" s="87" t="str">
        <v/>
      </c>
      <c r="H4156" s="87" t="str">
        <v/>
      </c>
    </row>
    <row r="4157" spans="2:8" x14ac:dyDescent="0.2">
      <c r="B4157" s="87" t="str">
        <v/>
      </c>
      <c r="H4157" s="87" t="str">
        <v/>
      </c>
    </row>
    <row r="4158" spans="2:8" x14ac:dyDescent="0.2">
      <c r="B4158" s="87" t="str">
        <v/>
      </c>
      <c r="H4158" s="87" t="str">
        <v/>
      </c>
    </row>
    <row r="4159" spans="2:8" x14ac:dyDescent="0.2">
      <c r="B4159" s="87" t="str">
        <v/>
      </c>
      <c r="H4159" s="87" t="str">
        <v/>
      </c>
    </row>
    <row r="4160" spans="2:8" x14ac:dyDescent="0.2">
      <c r="B4160" s="87" t="str">
        <v/>
      </c>
      <c r="H4160" s="87" t="str">
        <v/>
      </c>
    </row>
    <row r="4161" spans="2:8" x14ac:dyDescent="0.2">
      <c r="B4161" s="87" t="str">
        <v/>
      </c>
      <c r="H4161" s="87" t="str">
        <v/>
      </c>
    </row>
    <row r="4162" spans="2:8" x14ac:dyDescent="0.2">
      <c r="B4162" s="87" t="str">
        <v/>
      </c>
      <c r="H4162" s="87" t="str">
        <v/>
      </c>
    </row>
    <row r="4163" spans="2:8" x14ac:dyDescent="0.2">
      <c r="B4163" s="87" t="str">
        <v/>
      </c>
      <c r="H4163" s="87" t="str">
        <v/>
      </c>
    </row>
    <row r="4164" spans="2:8" x14ac:dyDescent="0.2">
      <c r="B4164" s="87" t="str">
        <v/>
      </c>
      <c r="H4164" s="87" t="str">
        <v/>
      </c>
    </row>
    <row r="4165" spans="2:8" x14ac:dyDescent="0.2">
      <c r="B4165" s="87" t="str">
        <v/>
      </c>
      <c r="H4165" s="87" t="str">
        <v/>
      </c>
    </row>
    <row r="4166" spans="2:8" x14ac:dyDescent="0.2">
      <c r="B4166" s="87" t="str">
        <v/>
      </c>
      <c r="H4166" s="87" t="str">
        <v/>
      </c>
    </row>
    <row r="4167" spans="2:8" x14ac:dyDescent="0.2">
      <c r="B4167" s="87" t="str">
        <v/>
      </c>
      <c r="H4167" s="87" t="str">
        <v/>
      </c>
    </row>
    <row r="4168" spans="2:8" x14ac:dyDescent="0.2">
      <c r="B4168" s="87" t="str">
        <v/>
      </c>
      <c r="H4168" s="87" t="str">
        <v/>
      </c>
    </row>
    <row r="4169" spans="2:8" x14ac:dyDescent="0.2">
      <c r="B4169" s="87" t="str">
        <v/>
      </c>
      <c r="H4169" s="87" t="str">
        <v/>
      </c>
    </row>
    <row r="4170" spans="2:8" x14ac:dyDescent="0.2">
      <c r="B4170" s="87" t="str">
        <v/>
      </c>
      <c r="H4170" s="87" t="str">
        <v/>
      </c>
    </row>
    <row r="4171" spans="2:8" x14ac:dyDescent="0.2">
      <c r="B4171" s="87" t="str">
        <v/>
      </c>
      <c r="H4171" s="87" t="str">
        <v/>
      </c>
    </row>
    <row r="4172" spans="2:8" x14ac:dyDescent="0.2">
      <c r="B4172" s="87" t="str">
        <v/>
      </c>
      <c r="H4172" s="87" t="str">
        <v/>
      </c>
    </row>
    <row r="4173" spans="2:8" x14ac:dyDescent="0.2">
      <c r="B4173" s="87" t="str">
        <v/>
      </c>
      <c r="H4173" s="87" t="str">
        <v/>
      </c>
    </row>
    <row r="4174" spans="2:8" x14ac:dyDescent="0.2">
      <c r="B4174" s="87" t="str">
        <v/>
      </c>
      <c r="H4174" s="87" t="str">
        <v/>
      </c>
    </row>
    <row r="4175" spans="2:8" x14ac:dyDescent="0.2">
      <c r="B4175" s="87" t="str">
        <v/>
      </c>
      <c r="H4175" s="87" t="str">
        <v/>
      </c>
    </row>
    <row r="4176" spans="2:8" x14ac:dyDescent="0.2">
      <c r="B4176" s="87" t="str">
        <v/>
      </c>
      <c r="H4176" s="87" t="str">
        <v/>
      </c>
    </row>
    <row r="4177" spans="2:8" x14ac:dyDescent="0.2">
      <c r="B4177" s="87" t="str">
        <v/>
      </c>
      <c r="H4177" s="87" t="str">
        <v/>
      </c>
    </row>
    <row r="4178" spans="2:8" x14ac:dyDescent="0.2">
      <c r="B4178" s="87" t="str">
        <v/>
      </c>
      <c r="H4178" s="87" t="str">
        <v/>
      </c>
    </row>
    <row r="4179" spans="2:8" x14ac:dyDescent="0.2">
      <c r="B4179" s="87" t="str">
        <v/>
      </c>
      <c r="H4179" s="87" t="str">
        <v/>
      </c>
    </row>
    <row r="4180" spans="2:8" x14ac:dyDescent="0.2">
      <c r="B4180" s="87" t="str">
        <v/>
      </c>
      <c r="H4180" s="87" t="str">
        <v/>
      </c>
    </row>
    <row r="4181" spans="2:8" x14ac:dyDescent="0.2">
      <c r="B4181" s="87" t="str">
        <v/>
      </c>
      <c r="H4181" s="87" t="str">
        <v/>
      </c>
    </row>
    <row r="4182" spans="2:8" x14ac:dyDescent="0.2">
      <c r="B4182" s="87" t="str">
        <v/>
      </c>
      <c r="H4182" s="87" t="str">
        <v/>
      </c>
    </row>
    <row r="4183" spans="2:8" x14ac:dyDescent="0.2">
      <c r="B4183" s="87" t="str">
        <v/>
      </c>
      <c r="H4183" s="87" t="str">
        <v/>
      </c>
    </row>
    <row r="4184" spans="2:8" x14ac:dyDescent="0.2">
      <c r="B4184" s="87" t="str">
        <v/>
      </c>
      <c r="H4184" s="87" t="str">
        <v/>
      </c>
    </row>
    <row r="4185" spans="2:8" x14ac:dyDescent="0.2">
      <c r="B4185" s="87" t="str">
        <v/>
      </c>
      <c r="H4185" s="87" t="str">
        <v/>
      </c>
    </row>
    <row r="4186" spans="2:8" x14ac:dyDescent="0.2">
      <c r="B4186" s="87" t="str">
        <v/>
      </c>
      <c r="H4186" s="87" t="str">
        <v/>
      </c>
    </row>
    <row r="4187" spans="2:8" x14ac:dyDescent="0.2">
      <c r="B4187" s="87" t="str">
        <v/>
      </c>
      <c r="H4187" s="87" t="str">
        <v/>
      </c>
    </row>
    <row r="4188" spans="2:8" x14ac:dyDescent="0.2">
      <c r="B4188" s="87" t="str">
        <v/>
      </c>
      <c r="H4188" s="87" t="str">
        <v/>
      </c>
    </row>
    <row r="4189" spans="2:8" x14ac:dyDescent="0.2">
      <c r="B4189" s="87" t="str">
        <v/>
      </c>
      <c r="H4189" s="87" t="str">
        <v/>
      </c>
    </row>
    <row r="4190" spans="2:8" x14ac:dyDescent="0.2">
      <c r="B4190" s="87" t="str">
        <v/>
      </c>
      <c r="H4190" s="87" t="str">
        <v/>
      </c>
    </row>
    <row r="4191" spans="2:8" x14ac:dyDescent="0.2">
      <c r="B4191" s="87" t="str">
        <v/>
      </c>
      <c r="H4191" s="87" t="str">
        <v/>
      </c>
    </row>
    <row r="4192" spans="2:8" x14ac:dyDescent="0.2">
      <c r="B4192" s="87" t="str">
        <v/>
      </c>
      <c r="H4192" s="87" t="str">
        <v/>
      </c>
    </row>
    <row r="4193" spans="2:8" x14ac:dyDescent="0.2">
      <c r="B4193" s="87" t="str">
        <v/>
      </c>
      <c r="H4193" s="87" t="str">
        <v/>
      </c>
    </row>
    <row r="4194" spans="2:8" x14ac:dyDescent="0.2">
      <c r="B4194" s="87" t="str">
        <v/>
      </c>
      <c r="H4194" s="87" t="str">
        <v/>
      </c>
    </row>
    <row r="4195" spans="2:8" x14ac:dyDescent="0.2">
      <c r="B4195" s="87" t="str">
        <v/>
      </c>
      <c r="H4195" s="87" t="str">
        <v/>
      </c>
    </row>
    <row r="4196" spans="2:8" x14ac:dyDescent="0.2">
      <c r="B4196" s="87" t="str">
        <v/>
      </c>
      <c r="H4196" s="87" t="str">
        <v/>
      </c>
    </row>
    <row r="4197" spans="2:8" x14ac:dyDescent="0.2">
      <c r="B4197" s="87" t="str">
        <v/>
      </c>
      <c r="H4197" s="87" t="str">
        <v/>
      </c>
    </row>
    <row r="4198" spans="2:8" x14ac:dyDescent="0.2">
      <c r="B4198" s="87" t="str">
        <v/>
      </c>
      <c r="H4198" s="87" t="str">
        <v/>
      </c>
    </row>
    <row r="4199" spans="2:8" x14ac:dyDescent="0.2">
      <c r="B4199" s="87" t="str">
        <v/>
      </c>
      <c r="H4199" s="87" t="str">
        <v/>
      </c>
    </row>
    <row r="4200" spans="2:8" x14ac:dyDescent="0.2">
      <c r="B4200" s="87" t="str">
        <v/>
      </c>
      <c r="H4200" s="87" t="str">
        <v/>
      </c>
    </row>
    <row r="4201" spans="2:8" x14ac:dyDescent="0.2">
      <c r="B4201" s="87" t="str">
        <v/>
      </c>
      <c r="H4201" s="87" t="str">
        <v/>
      </c>
    </row>
    <row r="4202" spans="2:8" x14ac:dyDescent="0.2">
      <c r="B4202" s="87" t="str">
        <v/>
      </c>
      <c r="H4202" s="87" t="str">
        <v/>
      </c>
    </row>
    <row r="4203" spans="2:8" x14ac:dyDescent="0.2">
      <c r="B4203" s="87" t="str">
        <v/>
      </c>
      <c r="H4203" s="87" t="str">
        <v/>
      </c>
    </row>
    <row r="4204" spans="2:8" x14ac:dyDescent="0.2">
      <c r="B4204" s="87" t="str">
        <v/>
      </c>
      <c r="H4204" s="87" t="str">
        <v/>
      </c>
    </row>
    <row r="4205" spans="2:8" x14ac:dyDescent="0.2">
      <c r="B4205" s="87" t="str">
        <v/>
      </c>
      <c r="H4205" s="87" t="str">
        <v/>
      </c>
    </row>
    <row r="4206" spans="2:8" x14ac:dyDescent="0.2">
      <c r="B4206" s="87" t="str">
        <v/>
      </c>
      <c r="H4206" s="87" t="str">
        <v/>
      </c>
    </row>
    <row r="4207" spans="2:8" x14ac:dyDescent="0.2">
      <c r="B4207" s="87" t="str">
        <v/>
      </c>
      <c r="H4207" s="87" t="str">
        <v/>
      </c>
    </row>
    <row r="4208" spans="2:8" x14ac:dyDescent="0.2">
      <c r="B4208" s="87" t="str">
        <v/>
      </c>
      <c r="H4208" s="87" t="str">
        <v/>
      </c>
    </row>
    <row r="4209" spans="2:8" x14ac:dyDescent="0.2">
      <c r="B4209" s="87" t="str">
        <v/>
      </c>
      <c r="H4209" s="87" t="str">
        <v/>
      </c>
    </row>
    <row r="4210" spans="2:8" x14ac:dyDescent="0.2">
      <c r="B4210" s="87" t="str">
        <v/>
      </c>
      <c r="H4210" s="87" t="str">
        <v/>
      </c>
    </row>
    <row r="4211" spans="2:8" x14ac:dyDescent="0.2">
      <c r="B4211" s="87" t="str">
        <v/>
      </c>
      <c r="H4211" s="87" t="str">
        <v/>
      </c>
    </row>
    <row r="4212" spans="2:8" x14ac:dyDescent="0.2">
      <c r="B4212" s="87" t="str">
        <v/>
      </c>
      <c r="H4212" s="87" t="str">
        <v/>
      </c>
    </row>
    <row r="4213" spans="2:8" x14ac:dyDescent="0.2">
      <c r="B4213" s="87" t="str">
        <v/>
      </c>
      <c r="H4213" s="87" t="str">
        <v/>
      </c>
    </row>
    <row r="4214" spans="2:8" x14ac:dyDescent="0.2">
      <c r="B4214" s="87" t="str">
        <v/>
      </c>
      <c r="H4214" s="87" t="str">
        <v/>
      </c>
    </row>
    <row r="4215" spans="2:8" x14ac:dyDescent="0.2">
      <c r="B4215" s="87" t="str">
        <v/>
      </c>
      <c r="H4215" s="87" t="str">
        <v/>
      </c>
    </row>
    <row r="4216" spans="2:8" x14ac:dyDescent="0.2">
      <c r="B4216" s="87" t="str">
        <v/>
      </c>
      <c r="H4216" s="87" t="str">
        <v/>
      </c>
    </row>
    <row r="4217" spans="2:8" x14ac:dyDescent="0.2">
      <c r="B4217" s="87" t="str">
        <v/>
      </c>
      <c r="H4217" s="87" t="str">
        <v/>
      </c>
    </row>
    <row r="4218" spans="2:8" x14ac:dyDescent="0.2">
      <c r="B4218" s="87" t="str">
        <v/>
      </c>
      <c r="H4218" s="87" t="str">
        <v/>
      </c>
    </row>
    <row r="4219" spans="2:8" x14ac:dyDescent="0.2">
      <c r="B4219" s="87" t="str">
        <v/>
      </c>
      <c r="H4219" s="87" t="str">
        <v/>
      </c>
    </row>
    <row r="4220" spans="2:8" x14ac:dyDescent="0.2">
      <c r="B4220" s="87" t="str">
        <v/>
      </c>
      <c r="H4220" s="87" t="str">
        <v/>
      </c>
    </row>
    <row r="4221" spans="2:8" x14ac:dyDescent="0.2">
      <c r="B4221" s="87" t="str">
        <v/>
      </c>
      <c r="H4221" s="87" t="str">
        <v/>
      </c>
    </row>
    <row r="4222" spans="2:8" x14ac:dyDescent="0.2">
      <c r="B4222" s="87" t="str">
        <v/>
      </c>
      <c r="H4222" s="87" t="str">
        <v/>
      </c>
    </row>
    <row r="4223" spans="2:8" x14ac:dyDescent="0.2">
      <c r="B4223" s="87" t="str">
        <v/>
      </c>
      <c r="H4223" s="87" t="str">
        <v/>
      </c>
    </row>
    <row r="4224" spans="2:8" x14ac:dyDescent="0.2">
      <c r="B4224" s="87" t="str">
        <v/>
      </c>
      <c r="H4224" s="87" t="str">
        <v/>
      </c>
    </row>
    <row r="4225" spans="2:8" x14ac:dyDescent="0.2">
      <c r="B4225" s="87" t="str">
        <v/>
      </c>
      <c r="H4225" s="87" t="str">
        <v/>
      </c>
    </row>
    <row r="4226" spans="2:8" x14ac:dyDescent="0.2">
      <c r="B4226" s="87" t="str">
        <v/>
      </c>
      <c r="H4226" s="87" t="str">
        <v/>
      </c>
    </row>
    <row r="4227" spans="2:8" x14ac:dyDescent="0.2">
      <c r="B4227" s="87" t="str">
        <v/>
      </c>
      <c r="H4227" s="87" t="str">
        <v/>
      </c>
    </row>
    <row r="4228" spans="2:8" x14ac:dyDescent="0.2">
      <c r="B4228" s="87" t="str">
        <v/>
      </c>
      <c r="H4228" s="87" t="str">
        <v/>
      </c>
    </row>
    <row r="4229" spans="2:8" x14ac:dyDescent="0.2">
      <c r="B4229" s="87" t="str">
        <v/>
      </c>
      <c r="H4229" s="87" t="str">
        <v/>
      </c>
    </row>
    <row r="4230" spans="2:8" x14ac:dyDescent="0.2">
      <c r="B4230" s="87" t="str">
        <v/>
      </c>
      <c r="H4230" s="87" t="str">
        <v/>
      </c>
    </row>
    <row r="4231" spans="2:8" x14ac:dyDescent="0.2">
      <c r="B4231" s="87" t="str">
        <v/>
      </c>
      <c r="H4231" s="87" t="str">
        <v/>
      </c>
    </row>
    <row r="4232" spans="2:8" x14ac:dyDescent="0.2">
      <c r="B4232" s="87" t="str">
        <v/>
      </c>
      <c r="H4232" s="87" t="str">
        <v/>
      </c>
    </row>
    <row r="4233" spans="2:8" x14ac:dyDescent="0.2">
      <c r="B4233" s="87" t="str">
        <v/>
      </c>
      <c r="H4233" s="87" t="str">
        <v/>
      </c>
    </row>
    <row r="4234" spans="2:8" x14ac:dyDescent="0.2">
      <c r="B4234" s="87" t="str">
        <v/>
      </c>
      <c r="H4234" s="87" t="str">
        <v/>
      </c>
    </row>
    <row r="4235" spans="2:8" x14ac:dyDescent="0.2">
      <c r="B4235" s="87" t="str">
        <v/>
      </c>
      <c r="H4235" s="87" t="str">
        <v/>
      </c>
    </row>
    <row r="4236" spans="2:8" x14ac:dyDescent="0.2">
      <c r="B4236" s="87" t="str">
        <v/>
      </c>
      <c r="H4236" s="87" t="str">
        <v/>
      </c>
    </row>
    <row r="4237" spans="2:8" x14ac:dyDescent="0.2">
      <c r="B4237" s="87" t="str">
        <v/>
      </c>
      <c r="H4237" s="87" t="str">
        <v/>
      </c>
    </row>
    <row r="4238" spans="2:8" x14ac:dyDescent="0.2">
      <c r="B4238" s="87" t="str">
        <v/>
      </c>
      <c r="H4238" s="87" t="str">
        <v/>
      </c>
    </row>
    <row r="4239" spans="2:8" x14ac:dyDescent="0.2">
      <c r="B4239" s="87" t="str">
        <v/>
      </c>
      <c r="H4239" s="87" t="str">
        <v/>
      </c>
    </row>
    <row r="4240" spans="2:8" x14ac:dyDescent="0.2">
      <c r="B4240" s="87" t="str">
        <v/>
      </c>
      <c r="H4240" s="87" t="str">
        <v/>
      </c>
    </row>
    <row r="4241" spans="2:8" x14ac:dyDescent="0.2">
      <c r="B4241" s="87" t="str">
        <v/>
      </c>
      <c r="H4241" s="87" t="str">
        <v/>
      </c>
    </row>
    <row r="4242" spans="2:8" x14ac:dyDescent="0.2">
      <c r="B4242" s="87" t="str">
        <v/>
      </c>
      <c r="H4242" s="87" t="str">
        <v/>
      </c>
    </row>
    <row r="4243" spans="2:8" x14ac:dyDescent="0.2">
      <c r="B4243" s="87" t="str">
        <v/>
      </c>
      <c r="H4243" s="87" t="str">
        <v/>
      </c>
    </row>
    <row r="4244" spans="2:8" x14ac:dyDescent="0.2">
      <c r="B4244" s="87" t="str">
        <v/>
      </c>
      <c r="H4244" s="87" t="str">
        <v/>
      </c>
    </row>
    <row r="4245" spans="2:8" x14ac:dyDescent="0.2">
      <c r="B4245" s="87" t="str">
        <v/>
      </c>
      <c r="H4245" s="87" t="str">
        <v/>
      </c>
    </row>
    <row r="4246" spans="2:8" x14ac:dyDescent="0.2">
      <c r="B4246" s="87" t="str">
        <v/>
      </c>
      <c r="H4246" s="87" t="str">
        <v/>
      </c>
    </row>
    <row r="4247" spans="2:8" x14ac:dyDescent="0.2">
      <c r="B4247" s="87" t="str">
        <v/>
      </c>
      <c r="H4247" s="87" t="str">
        <v/>
      </c>
    </row>
    <row r="4248" spans="2:8" x14ac:dyDescent="0.2">
      <c r="B4248" s="87" t="str">
        <v/>
      </c>
      <c r="H4248" s="87" t="str">
        <v/>
      </c>
    </row>
    <row r="4249" spans="2:8" x14ac:dyDescent="0.2">
      <c r="B4249" s="87" t="str">
        <v/>
      </c>
      <c r="H4249" s="87" t="str">
        <v/>
      </c>
    </row>
    <row r="4250" spans="2:8" x14ac:dyDescent="0.2">
      <c r="B4250" s="87" t="str">
        <v/>
      </c>
      <c r="H4250" s="87" t="str">
        <v/>
      </c>
    </row>
    <row r="4251" spans="2:8" x14ac:dyDescent="0.2">
      <c r="B4251" s="87" t="str">
        <v/>
      </c>
      <c r="H4251" s="87" t="str">
        <v/>
      </c>
    </row>
    <row r="4252" spans="2:8" x14ac:dyDescent="0.2">
      <c r="B4252" s="87" t="str">
        <v/>
      </c>
      <c r="H4252" s="87" t="str">
        <v/>
      </c>
    </row>
    <row r="4253" spans="2:8" x14ac:dyDescent="0.2">
      <c r="B4253" s="87" t="str">
        <v/>
      </c>
      <c r="H4253" s="87" t="str">
        <v/>
      </c>
    </row>
    <row r="4254" spans="2:8" x14ac:dyDescent="0.2">
      <c r="B4254" s="87" t="str">
        <v/>
      </c>
      <c r="H4254" s="87" t="str">
        <v/>
      </c>
    </row>
    <row r="4255" spans="2:8" x14ac:dyDescent="0.2">
      <c r="B4255" s="87" t="str">
        <v/>
      </c>
      <c r="H4255" s="87" t="str">
        <v/>
      </c>
    </row>
    <row r="4256" spans="2:8" x14ac:dyDescent="0.2">
      <c r="B4256" s="87" t="str">
        <v/>
      </c>
      <c r="H4256" s="87" t="str">
        <v/>
      </c>
    </row>
    <row r="4257" spans="2:8" x14ac:dyDescent="0.2">
      <c r="B4257" s="87" t="str">
        <v/>
      </c>
      <c r="H4257" s="87" t="str">
        <v/>
      </c>
    </row>
    <row r="4258" spans="2:8" x14ac:dyDescent="0.2">
      <c r="B4258" s="87" t="str">
        <v/>
      </c>
      <c r="H4258" s="87" t="str">
        <v/>
      </c>
    </row>
    <row r="4259" spans="2:8" x14ac:dyDescent="0.2">
      <c r="B4259" s="87" t="str">
        <v/>
      </c>
      <c r="H4259" s="87" t="str">
        <v/>
      </c>
    </row>
    <row r="4260" spans="2:8" x14ac:dyDescent="0.2">
      <c r="B4260" s="87" t="str">
        <v/>
      </c>
      <c r="H4260" s="87" t="str">
        <v/>
      </c>
    </row>
    <row r="4261" spans="2:8" x14ac:dyDescent="0.2">
      <c r="B4261" s="87" t="str">
        <v/>
      </c>
      <c r="H4261" s="87" t="str">
        <v/>
      </c>
    </row>
    <row r="4262" spans="2:8" x14ac:dyDescent="0.2">
      <c r="B4262" s="87" t="str">
        <v/>
      </c>
      <c r="H4262" s="87" t="str">
        <v/>
      </c>
    </row>
    <row r="4263" spans="2:8" x14ac:dyDescent="0.2">
      <c r="B4263" s="87" t="str">
        <v/>
      </c>
      <c r="H4263" s="87" t="str">
        <v/>
      </c>
    </row>
    <row r="4264" spans="2:8" x14ac:dyDescent="0.2">
      <c r="B4264" s="87" t="str">
        <v/>
      </c>
      <c r="H4264" s="87" t="str">
        <v/>
      </c>
    </row>
    <row r="4265" spans="2:8" x14ac:dyDescent="0.2">
      <c r="B4265" s="87" t="str">
        <v/>
      </c>
      <c r="H4265" s="87" t="str">
        <v/>
      </c>
    </row>
    <row r="4266" spans="2:8" x14ac:dyDescent="0.2">
      <c r="B4266" s="87" t="str">
        <v/>
      </c>
      <c r="H4266" s="87" t="str">
        <v/>
      </c>
    </row>
    <row r="4267" spans="2:8" x14ac:dyDescent="0.2">
      <c r="B4267" s="87" t="str">
        <v/>
      </c>
      <c r="H4267" s="87" t="str">
        <v/>
      </c>
    </row>
    <row r="4268" spans="2:8" x14ac:dyDescent="0.2">
      <c r="B4268" s="87" t="str">
        <v/>
      </c>
      <c r="H4268" s="87" t="str">
        <v/>
      </c>
    </row>
    <row r="4269" spans="2:8" x14ac:dyDescent="0.2">
      <c r="B4269" s="87" t="str">
        <v/>
      </c>
      <c r="H4269" s="87" t="str">
        <v/>
      </c>
    </row>
    <row r="4270" spans="2:8" x14ac:dyDescent="0.2">
      <c r="B4270" s="87" t="str">
        <v/>
      </c>
      <c r="H4270" s="87" t="str">
        <v/>
      </c>
    </row>
    <row r="4271" spans="2:8" x14ac:dyDescent="0.2">
      <c r="B4271" s="87" t="str">
        <v/>
      </c>
      <c r="H4271" s="87" t="str">
        <v/>
      </c>
    </row>
    <row r="4272" spans="2:8" x14ac:dyDescent="0.2">
      <c r="B4272" s="87" t="str">
        <v/>
      </c>
      <c r="H4272" s="87" t="str">
        <v/>
      </c>
    </row>
    <row r="4273" spans="2:8" x14ac:dyDescent="0.2">
      <c r="B4273" s="87" t="str">
        <v/>
      </c>
      <c r="H4273" s="87" t="str">
        <v/>
      </c>
    </row>
    <row r="4274" spans="2:8" x14ac:dyDescent="0.2">
      <c r="B4274" s="87" t="str">
        <v/>
      </c>
      <c r="H4274" s="87" t="str">
        <v/>
      </c>
    </row>
    <row r="4275" spans="2:8" x14ac:dyDescent="0.2">
      <c r="B4275" s="87" t="str">
        <v/>
      </c>
      <c r="H4275" s="87" t="str">
        <v/>
      </c>
    </row>
    <row r="4276" spans="2:8" x14ac:dyDescent="0.2">
      <c r="B4276" s="87" t="str">
        <v/>
      </c>
      <c r="H4276" s="87" t="str">
        <v/>
      </c>
    </row>
    <row r="4277" spans="2:8" x14ac:dyDescent="0.2">
      <c r="B4277" s="87" t="str">
        <v/>
      </c>
      <c r="H4277" s="87" t="str">
        <v/>
      </c>
    </row>
    <row r="4278" spans="2:8" x14ac:dyDescent="0.2">
      <c r="B4278" s="87" t="str">
        <v/>
      </c>
      <c r="H4278" s="87" t="str">
        <v/>
      </c>
    </row>
    <row r="4279" spans="2:8" x14ac:dyDescent="0.2">
      <c r="B4279" s="87" t="str">
        <v/>
      </c>
      <c r="H4279" s="87" t="str">
        <v/>
      </c>
    </row>
    <row r="4280" spans="2:8" x14ac:dyDescent="0.2">
      <c r="B4280" s="87" t="str">
        <v/>
      </c>
      <c r="H4280" s="87" t="str">
        <v/>
      </c>
    </row>
    <row r="4281" spans="2:8" x14ac:dyDescent="0.2">
      <c r="B4281" s="87" t="str">
        <v/>
      </c>
      <c r="H4281" s="87" t="str">
        <v/>
      </c>
    </row>
    <row r="4282" spans="2:8" x14ac:dyDescent="0.2">
      <c r="B4282" s="87" t="str">
        <v/>
      </c>
      <c r="H4282" s="87" t="str">
        <v/>
      </c>
    </row>
    <row r="4283" spans="2:8" x14ac:dyDescent="0.2">
      <c r="B4283" s="87" t="str">
        <v/>
      </c>
      <c r="H4283" s="87" t="str">
        <v/>
      </c>
    </row>
    <row r="4284" spans="2:8" x14ac:dyDescent="0.2">
      <c r="B4284" s="87" t="str">
        <v/>
      </c>
      <c r="H4284" s="87" t="str">
        <v/>
      </c>
    </row>
    <row r="4285" spans="2:8" x14ac:dyDescent="0.2">
      <c r="B4285" s="87" t="str">
        <v/>
      </c>
      <c r="H4285" s="87" t="str">
        <v/>
      </c>
    </row>
    <row r="4286" spans="2:8" x14ac:dyDescent="0.2">
      <c r="B4286" s="87" t="str">
        <v/>
      </c>
      <c r="H4286" s="87" t="str">
        <v/>
      </c>
    </row>
    <row r="4287" spans="2:8" x14ac:dyDescent="0.2">
      <c r="B4287" s="87" t="str">
        <v/>
      </c>
      <c r="H4287" s="87" t="str">
        <v/>
      </c>
    </row>
    <row r="4288" spans="2:8" x14ac:dyDescent="0.2">
      <c r="B4288" s="87" t="str">
        <v/>
      </c>
      <c r="H4288" s="87" t="str">
        <v/>
      </c>
    </row>
    <row r="4289" spans="2:8" x14ac:dyDescent="0.2">
      <c r="B4289" s="87" t="str">
        <v/>
      </c>
      <c r="H4289" s="87" t="str">
        <v/>
      </c>
    </row>
    <row r="4290" spans="2:8" x14ac:dyDescent="0.2">
      <c r="B4290" s="87" t="str">
        <v/>
      </c>
      <c r="H4290" s="87" t="str">
        <v/>
      </c>
    </row>
    <row r="4291" spans="2:8" x14ac:dyDescent="0.2">
      <c r="B4291" s="87" t="str">
        <v/>
      </c>
      <c r="H4291" s="87" t="str">
        <v/>
      </c>
    </row>
    <row r="4292" spans="2:8" x14ac:dyDescent="0.2">
      <c r="B4292" s="87" t="str">
        <v/>
      </c>
      <c r="H4292" s="87" t="str">
        <v/>
      </c>
    </row>
    <row r="4293" spans="2:8" x14ac:dyDescent="0.2">
      <c r="B4293" s="87" t="str">
        <v/>
      </c>
      <c r="H4293" s="87" t="str">
        <v/>
      </c>
    </row>
    <row r="4294" spans="2:8" x14ac:dyDescent="0.2">
      <c r="B4294" s="87" t="str">
        <v/>
      </c>
      <c r="H4294" s="87" t="str">
        <v/>
      </c>
    </row>
    <row r="4295" spans="2:8" x14ac:dyDescent="0.2">
      <c r="B4295" s="87" t="str">
        <v/>
      </c>
      <c r="H4295" s="87" t="str">
        <v/>
      </c>
    </row>
    <row r="4296" spans="2:8" x14ac:dyDescent="0.2">
      <c r="B4296" s="87" t="str">
        <v/>
      </c>
      <c r="H4296" s="87" t="str">
        <v/>
      </c>
    </row>
    <row r="4297" spans="2:8" x14ac:dyDescent="0.2">
      <c r="B4297" s="87" t="str">
        <v/>
      </c>
      <c r="H4297" s="87" t="str">
        <v/>
      </c>
    </row>
    <row r="4298" spans="2:8" x14ac:dyDescent="0.2">
      <c r="B4298" s="87" t="str">
        <v/>
      </c>
      <c r="H4298" s="87" t="str">
        <v/>
      </c>
    </row>
    <row r="4299" spans="2:8" x14ac:dyDescent="0.2">
      <c r="B4299" s="87" t="str">
        <v/>
      </c>
      <c r="H4299" s="87" t="str">
        <v/>
      </c>
    </row>
    <row r="4300" spans="2:8" x14ac:dyDescent="0.2">
      <c r="B4300" s="87" t="str">
        <v/>
      </c>
      <c r="H4300" s="87" t="str">
        <v/>
      </c>
    </row>
    <row r="4301" spans="2:8" x14ac:dyDescent="0.2">
      <c r="B4301" s="87" t="str">
        <v/>
      </c>
      <c r="H4301" s="87" t="str">
        <v/>
      </c>
    </row>
    <row r="4302" spans="2:8" x14ac:dyDescent="0.2">
      <c r="B4302" s="87" t="str">
        <v/>
      </c>
      <c r="H4302" s="87" t="str">
        <v/>
      </c>
    </row>
    <row r="4303" spans="2:8" x14ac:dyDescent="0.2">
      <c r="B4303" s="87" t="str">
        <v/>
      </c>
      <c r="H4303" s="87" t="str">
        <v/>
      </c>
    </row>
    <row r="4304" spans="2:8" x14ac:dyDescent="0.2">
      <c r="B4304" s="87" t="str">
        <v/>
      </c>
      <c r="H4304" s="87" t="str">
        <v/>
      </c>
    </row>
    <row r="4305" spans="2:8" x14ac:dyDescent="0.2">
      <c r="B4305" s="87" t="str">
        <v/>
      </c>
      <c r="H4305" s="87" t="str">
        <v/>
      </c>
    </row>
    <row r="4306" spans="2:8" x14ac:dyDescent="0.2">
      <c r="B4306" s="87" t="str">
        <v/>
      </c>
      <c r="H4306" s="87" t="str">
        <v/>
      </c>
    </row>
    <row r="4307" spans="2:8" x14ac:dyDescent="0.2">
      <c r="B4307" s="87" t="str">
        <v/>
      </c>
      <c r="H4307" s="87" t="str">
        <v/>
      </c>
    </row>
    <row r="4308" spans="2:8" x14ac:dyDescent="0.2">
      <c r="B4308" s="87" t="str">
        <v/>
      </c>
      <c r="H4308" s="87" t="str">
        <v/>
      </c>
    </row>
    <row r="4309" spans="2:8" x14ac:dyDescent="0.2">
      <c r="B4309" s="87" t="str">
        <v/>
      </c>
      <c r="H4309" s="87" t="str">
        <v/>
      </c>
    </row>
    <row r="4310" spans="2:8" x14ac:dyDescent="0.2">
      <c r="B4310" s="87" t="str">
        <v/>
      </c>
      <c r="H4310" s="87" t="str">
        <v/>
      </c>
    </row>
    <row r="4311" spans="2:8" x14ac:dyDescent="0.2">
      <c r="B4311" s="87" t="str">
        <v/>
      </c>
      <c r="H4311" s="87" t="str">
        <v/>
      </c>
    </row>
    <row r="4312" spans="2:8" x14ac:dyDescent="0.2">
      <c r="B4312" s="87" t="str">
        <v/>
      </c>
      <c r="H4312" s="87" t="str">
        <v/>
      </c>
    </row>
    <row r="4313" spans="2:8" x14ac:dyDescent="0.2">
      <c r="B4313" s="87" t="str">
        <v/>
      </c>
      <c r="H4313" s="87" t="str">
        <v/>
      </c>
    </row>
    <row r="4314" spans="2:8" x14ac:dyDescent="0.2">
      <c r="B4314" s="87" t="str">
        <v/>
      </c>
      <c r="H4314" s="87" t="str">
        <v/>
      </c>
    </row>
    <row r="4315" spans="2:8" x14ac:dyDescent="0.2">
      <c r="B4315" s="87" t="str">
        <v/>
      </c>
      <c r="H4315" s="87" t="str">
        <v/>
      </c>
    </row>
    <row r="4316" spans="2:8" x14ac:dyDescent="0.2">
      <c r="B4316" s="87" t="str">
        <v/>
      </c>
      <c r="H4316" s="87" t="str">
        <v/>
      </c>
    </row>
    <row r="4317" spans="2:8" x14ac:dyDescent="0.2">
      <c r="B4317" s="87" t="str">
        <v/>
      </c>
      <c r="H4317" s="87" t="str">
        <v/>
      </c>
    </row>
    <row r="4318" spans="2:8" x14ac:dyDescent="0.2">
      <c r="B4318" s="87" t="str">
        <v/>
      </c>
      <c r="H4318" s="87" t="str">
        <v/>
      </c>
    </row>
    <row r="4319" spans="2:8" x14ac:dyDescent="0.2">
      <c r="B4319" s="87" t="str">
        <v/>
      </c>
      <c r="H4319" s="87" t="str">
        <v/>
      </c>
    </row>
    <row r="4320" spans="2:8" x14ac:dyDescent="0.2">
      <c r="B4320" s="87" t="str">
        <v/>
      </c>
      <c r="H4320" s="87" t="str">
        <v/>
      </c>
    </row>
    <row r="4321" spans="2:8" x14ac:dyDescent="0.2">
      <c r="B4321" s="87" t="str">
        <v/>
      </c>
      <c r="H4321" s="87" t="str">
        <v/>
      </c>
    </row>
    <row r="4322" spans="2:8" x14ac:dyDescent="0.2">
      <c r="B4322" s="87" t="str">
        <v/>
      </c>
      <c r="H4322" s="87" t="str">
        <v/>
      </c>
    </row>
    <row r="4323" spans="2:8" x14ac:dyDescent="0.2">
      <c r="B4323" s="87" t="str">
        <v/>
      </c>
      <c r="H4323" s="87" t="str">
        <v/>
      </c>
    </row>
    <row r="4324" spans="2:8" x14ac:dyDescent="0.2">
      <c r="B4324" s="87" t="str">
        <v/>
      </c>
      <c r="H4324" s="87" t="str">
        <v/>
      </c>
    </row>
    <row r="4325" spans="2:8" x14ac:dyDescent="0.2">
      <c r="B4325" s="87" t="str">
        <v/>
      </c>
      <c r="H4325" s="87" t="str">
        <v/>
      </c>
    </row>
    <row r="4326" spans="2:8" x14ac:dyDescent="0.2">
      <c r="B4326" s="87" t="str">
        <v/>
      </c>
      <c r="H4326" s="87" t="str">
        <v/>
      </c>
    </row>
    <row r="4327" spans="2:8" x14ac:dyDescent="0.2">
      <c r="B4327" s="87" t="str">
        <v/>
      </c>
      <c r="H4327" s="87" t="str">
        <v/>
      </c>
    </row>
    <row r="4328" spans="2:8" x14ac:dyDescent="0.2">
      <c r="B4328" s="87" t="str">
        <v/>
      </c>
      <c r="H4328" s="87" t="str">
        <v/>
      </c>
    </row>
    <row r="4329" spans="2:8" x14ac:dyDescent="0.2">
      <c r="B4329" s="87" t="str">
        <v/>
      </c>
      <c r="H4329" s="87" t="str">
        <v/>
      </c>
    </row>
    <row r="4330" spans="2:8" x14ac:dyDescent="0.2">
      <c r="B4330" s="87" t="str">
        <v/>
      </c>
      <c r="H4330" s="87" t="str">
        <v/>
      </c>
    </row>
    <row r="4331" spans="2:8" x14ac:dyDescent="0.2">
      <c r="B4331" s="87" t="str">
        <v/>
      </c>
      <c r="H4331" s="87" t="str">
        <v/>
      </c>
    </row>
    <row r="4332" spans="2:8" x14ac:dyDescent="0.2">
      <c r="B4332" s="87" t="str">
        <v/>
      </c>
      <c r="H4332" s="87" t="str">
        <v/>
      </c>
    </row>
    <row r="4333" spans="2:8" x14ac:dyDescent="0.2">
      <c r="B4333" s="87" t="str">
        <v/>
      </c>
      <c r="H4333" s="87" t="str">
        <v/>
      </c>
    </row>
    <row r="4334" spans="2:8" x14ac:dyDescent="0.2">
      <c r="B4334" s="87" t="str">
        <v/>
      </c>
      <c r="H4334" s="87" t="str">
        <v/>
      </c>
    </row>
    <row r="4335" spans="2:8" x14ac:dyDescent="0.2">
      <c r="B4335" s="87" t="str">
        <v/>
      </c>
      <c r="H4335" s="87" t="str">
        <v/>
      </c>
    </row>
    <row r="4336" spans="2:8" x14ac:dyDescent="0.2">
      <c r="B4336" s="87" t="str">
        <v/>
      </c>
      <c r="H4336" s="87" t="str">
        <v/>
      </c>
    </row>
    <row r="4337" spans="2:8" x14ac:dyDescent="0.2">
      <c r="B4337" s="87" t="str">
        <v/>
      </c>
      <c r="H4337" s="87" t="str">
        <v/>
      </c>
    </row>
    <row r="4338" spans="2:8" x14ac:dyDescent="0.2">
      <c r="B4338" s="87" t="str">
        <v/>
      </c>
      <c r="H4338" s="87" t="str">
        <v/>
      </c>
    </row>
    <row r="4339" spans="2:8" x14ac:dyDescent="0.2">
      <c r="B4339" s="87" t="str">
        <v/>
      </c>
      <c r="H4339" s="87" t="str">
        <v/>
      </c>
    </row>
    <row r="4340" spans="2:8" x14ac:dyDescent="0.2">
      <c r="B4340" s="87" t="str">
        <v/>
      </c>
      <c r="H4340" s="87" t="str">
        <v/>
      </c>
    </row>
    <row r="4341" spans="2:8" x14ac:dyDescent="0.2">
      <c r="B4341" s="87" t="str">
        <v/>
      </c>
      <c r="H4341" s="87" t="str">
        <v/>
      </c>
    </row>
    <row r="4342" spans="2:8" x14ac:dyDescent="0.2">
      <c r="B4342" s="87" t="str">
        <v/>
      </c>
      <c r="H4342" s="87" t="str">
        <v/>
      </c>
    </row>
    <row r="4343" spans="2:8" x14ac:dyDescent="0.2">
      <c r="B4343" s="87" t="str">
        <v/>
      </c>
      <c r="H4343" s="87" t="str">
        <v/>
      </c>
    </row>
    <row r="4344" spans="2:8" x14ac:dyDescent="0.2">
      <c r="B4344" s="87" t="str">
        <v/>
      </c>
      <c r="H4344" s="87" t="str">
        <v/>
      </c>
    </row>
    <row r="4345" spans="2:8" x14ac:dyDescent="0.2">
      <c r="B4345" s="87" t="str">
        <v/>
      </c>
      <c r="H4345" s="87" t="str">
        <v/>
      </c>
    </row>
    <row r="4346" spans="2:8" x14ac:dyDescent="0.2">
      <c r="B4346" s="87" t="str">
        <v/>
      </c>
      <c r="H4346" s="87" t="str">
        <v/>
      </c>
    </row>
    <row r="4347" spans="2:8" x14ac:dyDescent="0.2">
      <c r="B4347" s="87" t="str">
        <v/>
      </c>
      <c r="H4347" s="87" t="str">
        <v/>
      </c>
    </row>
    <row r="4348" spans="2:8" x14ac:dyDescent="0.2">
      <c r="B4348" s="87" t="str">
        <v/>
      </c>
      <c r="H4348" s="87" t="str">
        <v/>
      </c>
    </row>
    <row r="4349" spans="2:8" x14ac:dyDescent="0.2">
      <c r="B4349" s="87" t="str">
        <v/>
      </c>
      <c r="H4349" s="87" t="str">
        <v/>
      </c>
    </row>
    <row r="4350" spans="2:8" x14ac:dyDescent="0.2">
      <c r="B4350" s="87" t="str">
        <v/>
      </c>
      <c r="H4350" s="87" t="str">
        <v/>
      </c>
    </row>
    <row r="4351" spans="2:8" x14ac:dyDescent="0.2">
      <c r="B4351" s="87" t="str">
        <v/>
      </c>
      <c r="H4351" s="87" t="str">
        <v/>
      </c>
    </row>
    <row r="4352" spans="2:8" x14ac:dyDescent="0.2">
      <c r="B4352" s="87" t="str">
        <v/>
      </c>
      <c r="H4352" s="87" t="str">
        <v/>
      </c>
    </row>
    <row r="4353" spans="2:8" x14ac:dyDescent="0.2">
      <c r="B4353" s="87" t="str">
        <v/>
      </c>
      <c r="H4353" s="87" t="str">
        <v/>
      </c>
    </row>
    <row r="4354" spans="2:8" x14ac:dyDescent="0.2">
      <c r="B4354" s="87" t="str">
        <v/>
      </c>
      <c r="H4354" s="87" t="str">
        <v/>
      </c>
    </row>
    <row r="4355" spans="2:8" x14ac:dyDescent="0.2">
      <c r="B4355" s="87" t="str">
        <v/>
      </c>
      <c r="H4355" s="87" t="str">
        <v/>
      </c>
    </row>
    <row r="4356" spans="2:8" x14ac:dyDescent="0.2">
      <c r="B4356" s="87" t="str">
        <v/>
      </c>
      <c r="H4356" s="87" t="str">
        <v/>
      </c>
    </row>
    <row r="4357" spans="2:8" x14ac:dyDescent="0.2">
      <c r="B4357" s="87" t="str">
        <v/>
      </c>
      <c r="H4357" s="87" t="str">
        <v/>
      </c>
    </row>
    <row r="4358" spans="2:8" x14ac:dyDescent="0.2">
      <c r="B4358" s="87" t="str">
        <v/>
      </c>
      <c r="H4358" s="87" t="str">
        <v/>
      </c>
    </row>
    <row r="4359" spans="2:8" x14ac:dyDescent="0.2">
      <c r="B4359" s="87" t="str">
        <v/>
      </c>
      <c r="H4359" s="87" t="str">
        <v/>
      </c>
    </row>
    <row r="4360" spans="2:8" x14ac:dyDescent="0.2">
      <c r="B4360" s="87" t="str">
        <v/>
      </c>
      <c r="H4360" s="87" t="str">
        <v/>
      </c>
    </row>
    <row r="4361" spans="2:8" x14ac:dyDescent="0.2">
      <c r="B4361" s="87" t="str">
        <v/>
      </c>
      <c r="H4361" s="87" t="str">
        <v/>
      </c>
    </row>
    <row r="4362" spans="2:8" x14ac:dyDescent="0.2">
      <c r="B4362" s="87" t="str">
        <v/>
      </c>
      <c r="H4362" s="87" t="str">
        <v/>
      </c>
    </row>
    <row r="4363" spans="2:8" x14ac:dyDescent="0.2">
      <c r="B4363" s="87" t="str">
        <v/>
      </c>
      <c r="H4363" s="87" t="str">
        <v/>
      </c>
    </row>
    <row r="4364" spans="2:8" x14ac:dyDescent="0.2">
      <c r="B4364" s="87" t="str">
        <v/>
      </c>
      <c r="H4364" s="87" t="str">
        <v/>
      </c>
    </row>
    <row r="4365" spans="2:8" x14ac:dyDescent="0.2">
      <c r="B4365" s="87" t="str">
        <v/>
      </c>
      <c r="H4365" s="87" t="str">
        <v/>
      </c>
    </row>
    <row r="4366" spans="2:8" x14ac:dyDescent="0.2">
      <c r="B4366" s="87" t="str">
        <v/>
      </c>
      <c r="H4366" s="87" t="str">
        <v/>
      </c>
    </row>
    <row r="4367" spans="2:8" x14ac:dyDescent="0.2">
      <c r="B4367" s="87" t="str">
        <v/>
      </c>
      <c r="H4367" s="87" t="str">
        <v/>
      </c>
    </row>
    <row r="4368" spans="2:8" x14ac:dyDescent="0.2">
      <c r="B4368" s="87" t="str">
        <v/>
      </c>
      <c r="H4368" s="87" t="str">
        <v/>
      </c>
    </row>
    <row r="4369" spans="2:8" x14ac:dyDescent="0.2">
      <c r="B4369" s="87" t="str">
        <v/>
      </c>
      <c r="H4369" s="87" t="str">
        <v/>
      </c>
    </row>
    <row r="4370" spans="2:8" x14ac:dyDescent="0.2">
      <c r="B4370" s="87" t="str">
        <v/>
      </c>
      <c r="H4370" s="87" t="str">
        <v/>
      </c>
    </row>
    <row r="4371" spans="2:8" x14ac:dyDescent="0.2">
      <c r="B4371" s="87" t="str">
        <v/>
      </c>
      <c r="H4371" s="87" t="str">
        <v/>
      </c>
    </row>
    <row r="4372" spans="2:8" x14ac:dyDescent="0.2">
      <c r="B4372" s="87" t="str">
        <v/>
      </c>
      <c r="H4372" s="87" t="str">
        <v/>
      </c>
    </row>
    <row r="4373" spans="2:8" x14ac:dyDescent="0.2">
      <c r="B4373" s="87" t="str">
        <v/>
      </c>
      <c r="H4373" s="87" t="str">
        <v/>
      </c>
    </row>
    <row r="4374" spans="2:8" x14ac:dyDescent="0.2">
      <c r="B4374" s="87" t="str">
        <v/>
      </c>
      <c r="H4374" s="87" t="str">
        <v/>
      </c>
    </row>
    <row r="4375" spans="2:8" x14ac:dyDescent="0.2">
      <c r="B4375" s="87" t="str">
        <v/>
      </c>
      <c r="H4375" s="87" t="str">
        <v/>
      </c>
    </row>
    <row r="4376" spans="2:8" x14ac:dyDescent="0.2">
      <c r="B4376" s="87" t="str">
        <v/>
      </c>
      <c r="H4376" s="87" t="str">
        <v/>
      </c>
    </row>
    <row r="4377" spans="2:8" x14ac:dyDescent="0.2">
      <c r="B4377" s="87" t="str">
        <v/>
      </c>
      <c r="H4377" s="87" t="str">
        <v/>
      </c>
    </row>
    <row r="4378" spans="2:8" x14ac:dyDescent="0.2">
      <c r="B4378" s="87" t="str">
        <v/>
      </c>
      <c r="H4378" s="87" t="str">
        <v/>
      </c>
    </row>
    <row r="4379" spans="2:8" x14ac:dyDescent="0.2">
      <c r="B4379" s="87" t="str">
        <v/>
      </c>
      <c r="H4379" s="87" t="str">
        <v/>
      </c>
    </row>
    <row r="4380" spans="2:8" x14ac:dyDescent="0.2">
      <c r="B4380" s="87" t="str">
        <v/>
      </c>
      <c r="H4380" s="87" t="str">
        <v/>
      </c>
    </row>
    <row r="4381" spans="2:8" x14ac:dyDescent="0.2">
      <c r="B4381" s="87" t="str">
        <v/>
      </c>
      <c r="H4381" s="87" t="str">
        <v/>
      </c>
    </row>
    <row r="4382" spans="2:8" x14ac:dyDescent="0.2">
      <c r="B4382" s="87" t="str">
        <v/>
      </c>
      <c r="H4382" s="87" t="str">
        <v/>
      </c>
    </row>
    <row r="4383" spans="2:8" x14ac:dyDescent="0.2">
      <c r="B4383" s="87" t="str">
        <v/>
      </c>
      <c r="H4383" s="87" t="str">
        <v/>
      </c>
    </row>
    <row r="4384" spans="2:8" x14ac:dyDescent="0.2">
      <c r="B4384" s="87" t="str">
        <v/>
      </c>
      <c r="H4384" s="87" t="str">
        <v/>
      </c>
    </row>
    <row r="4385" spans="2:8" x14ac:dyDescent="0.2">
      <c r="B4385" s="87" t="str">
        <v/>
      </c>
      <c r="H4385" s="87" t="str">
        <v/>
      </c>
    </row>
    <row r="4386" spans="2:8" x14ac:dyDescent="0.2">
      <c r="B4386" s="87" t="str">
        <v/>
      </c>
      <c r="H4386" s="87" t="str">
        <v/>
      </c>
    </row>
    <row r="4387" spans="2:8" x14ac:dyDescent="0.2">
      <c r="B4387" s="87" t="str">
        <v/>
      </c>
      <c r="H4387" s="87" t="str">
        <v/>
      </c>
    </row>
    <row r="4388" spans="2:8" x14ac:dyDescent="0.2">
      <c r="B4388" s="87" t="str">
        <v/>
      </c>
      <c r="H4388" s="87" t="str">
        <v/>
      </c>
    </row>
    <row r="4389" spans="2:8" x14ac:dyDescent="0.2">
      <c r="B4389" s="87" t="str">
        <v/>
      </c>
      <c r="H4389" s="87" t="str">
        <v/>
      </c>
    </row>
    <row r="4390" spans="2:8" x14ac:dyDescent="0.2">
      <c r="B4390" s="87" t="str">
        <v/>
      </c>
      <c r="H4390" s="87" t="str">
        <v/>
      </c>
    </row>
    <row r="4391" spans="2:8" x14ac:dyDescent="0.2">
      <c r="B4391" s="87" t="str">
        <v/>
      </c>
      <c r="H4391" s="87" t="str">
        <v/>
      </c>
    </row>
    <row r="4392" spans="2:8" x14ac:dyDescent="0.2">
      <c r="B4392" s="87" t="str">
        <v/>
      </c>
      <c r="H4392" s="87" t="str">
        <v/>
      </c>
    </row>
    <row r="4393" spans="2:8" x14ac:dyDescent="0.2">
      <c r="B4393" s="87" t="str">
        <v/>
      </c>
      <c r="H4393" s="87" t="str">
        <v/>
      </c>
    </row>
    <row r="4394" spans="2:8" x14ac:dyDescent="0.2">
      <c r="B4394" s="87" t="str">
        <v/>
      </c>
      <c r="H4394" s="87" t="str">
        <v/>
      </c>
    </row>
    <row r="4395" spans="2:8" x14ac:dyDescent="0.2">
      <c r="B4395" s="87" t="str">
        <v/>
      </c>
      <c r="H4395" s="87" t="str">
        <v/>
      </c>
    </row>
    <row r="4396" spans="2:8" x14ac:dyDescent="0.2">
      <c r="B4396" s="87" t="str">
        <v/>
      </c>
      <c r="H4396" s="87" t="str">
        <v/>
      </c>
    </row>
    <row r="4397" spans="2:8" x14ac:dyDescent="0.2">
      <c r="B4397" s="87" t="str">
        <v/>
      </c>
      <c r="H4397" s="87" t="str">
        <v/>
      </c>
    </row>
    <row r="4398" spans="2:8" x14ac:dyDescent="0.2">
      <c r="B4398" s="87" t="str">
        <v/>
      </c>
      <c r="H4398" s="87" t="str">
        <v/>
      </c>
    </row>
    <row r="4399" spans="2:8" x14ac:dyDescent="0.2">
      <c r="B4399" s="87" t="str">
        <v/>
      </c>
      <c r="H4399" s="87" t="str">
        <v/>
      </c>
    </row>
    <row r="4400" spans="2:8" x14ac:dyDescent="0.2">
      <c r="B4400" s="87" t="str">
        <v/>
      </c>
      <c r="H4400" s="87" t="str">
        <v/>
      </c>
    </row>
    <row r="4401" spans="2:8" x14ac:dyDescent="0.2">
      <c r="B4401" s="87" t="str">
        <v/>
      </c>
      <c r="H4401" s="87" t="str">
        <v/>
      </c>
    </row>
    <row r="4402" spans="2:8" x14ac:dyDescent="0.2">
      <c r="B4402" s="87" t="str">
        <v/>
      </c>
      <c r="H4402" s="87" t="str">
        <v/>
      </c>
    </row>
    <row r="4403" spans="2:8" x14ac:dyDescent="0.2">
      <c r="B4403" s="87" t="str">
        <v/>
      </c>
      <c r="H4403" s="87" t="str">
        <v/>
      </c>
    </row>
    <row r="4404" spans="2:8" x14ac:dyDescent="0.2">
      <c r="B4404" s="87" t="str">
        <v/>
      </c>
      <c r="H4404" s="87" t="str">
        <v/>
      </c>
    </row>
    <row r="4405" spans="2:8" x14ac:dyDescent="0.2">
      <c r="B4405" s="87" t="str">
        <v/>
      </c>
      <c r="H4405" s="87" t="str">
        <v/>
      </c>
    </row>
    <row r="4406" spans="2:8" x14ac:dyDescent="0.2">
      <c r="B4406" s="87" t="str">
        <v/>
      </c>
      <c r="H4406" s="87" t="str">
        <v/>
      </c>
    </row>
    <row r="4407" spans="2:8" x14ac:dyDescent="0.2">
      <c r="B4407" s="87" t="str">
        <v/>
      </c>
      <c r="H4407" s="87" t="str">
        <v/>
      </c>
    </row>
    <row r="4408" spans="2:8" x14ac:dyDescent="0.2">
      <c r="B4408" s="87" t="str">
        <v/>
      </c>
      <c r="H4408" s="87" t="str">
        <v/>
      </c>
    </row>
    <row r="4409" spans="2:8" x14ac:dyDescent="0.2">
      <c r="B4409" s="87" t="str">
        <v/>
      </c>
      <c r="H4409" s="87" t="str">
        <v/>
      </c>
    </row>
    <row r="4410" spans="2:8" x14ac:dyDescent="0.2">
      <c r="B4410" s="87" t="str">
        <v/>
      </c>
      <c r="H4410" s="87" t="str">
        <v/>
      </c>
    </row>
    <row r="4411" spans="2:8" x14ac:dyDescent="0.2">
      <c r="B4411" s="87" t="str">
        <v/>
      </c>
      <c r="H4411" s="87" t="str">
        <v/>
      </c>
    </row>
    <row r="4412" spans="2:8" x14ac:dyDescent="0.2">
      <c r="B4412" s="87" t="str">
        <v/>
      </c>
      <c r="H4412" s="87" t="str">
        <v/>
      </c>
    </row>
    <row r="4413" spans="2:8" x14ac:dyDescent="0.2">
      <c r="B4413" s="87" t="str">
        <v/>
      </c>
      <c r="H4413" s="87" t="str">
        <v/>
      </c>
    </row>
    <row r="4414" spans="2:8" x14ac:dyDescent="0.2">
      <c r="B4414" s="87" t="str">
        <v/>
      </c>
      <c r="H4414" s="87" t="str">
        <v/>
      </c>
    </row>
    <row r="4415" spans="2:8" x14ac:dyDescent="0.2">
      <c r="B4415" s="87" t="str">
        <v/>
      </c>
      <c r="H4415" s="87" t="str">
        <v/>
      </c>
    </row>
    <row r="4416" spans="2:8" x14ac:dyDescent="0.2">
      <c r="B4416" s="87" t="str">
        <v/>
      </c>
      <c r="H4416" s="87" t="str">
        <v/>
      </c>
    </row>
    <row r="4417" spans="2:8" x14ac:dyDescent="0.2">
      <c r="B4417" s="87" t="str">
        <v/>
      </c>
      <c r="H4417" s="87" t="str">
        <v/>
      </c>
    </row>
    <row r="4418" spans="2:8" x14ac:dyDescent="0.2">
      <c r="B4418" s="87" t="str">
        <v/>
      </c>
      <c r="H4418" s="87" t="str">
        <v/>
      </c>
    </row>
    <row r="4419" spans="2:8" x14ac:dyDescent="0.2">
      <c r="B4419" s="87" t="str">
        <v/>
      </c>
      <c r="H4419" s="87" t="str">
        <v/>
      </c>
    </row>
    <row r="4420" spans="2:8" x14ac:dyDescent="0.2">
      <c r="B4420" s="87" t="str">
        <v/>
      </c>
      <c r="H4420" s="87" t="str">
        <v/>
      </c>
    </row>
    <row r="4421" spans="2:8" x14ac:dyDescent="0.2">
      <c r="B4421" s="87" t="str">
        <v/>
      </c>
      <c r="H4421" s="87" t="str">
        <v/>
      </c>
    </row>
    <row r="4422" spans="2:8" x14ac:dyDescent="0.2">
      <c r="B4422" s="87" t="str">
        <v/>
      </c>
      <c r="H4422" s="87" t="str">
        <v/>
      </c>
    </row>
    <row r="4423" spans="2:8" x14ac:dyDescent="0.2">
      <c r="B4423" s="87" t="str">
        <v/>
      </c>
      <c r="H4423" s="87" t="str">
        <v/>
      </c>
    </row>
    <row r="4424" spans="2:8" x14ac:dyDescent="0.2">
      <c r="B4424" s="87" t="str">
        <v/>
      </c>
      <c r="H4424" s="87" t="str">
        <v/>
      </c>
    </row>
    <row r="4425" spans="2:8" x14ac:dyDescent="0.2">
      <c r="B4425" s="87" t="str">
        <v/>
      </c>
      <c r="H4425" s="87" t="str">
        <v/>
      </c>
    </row>
    <row r="4426" spans="2:8" x14ac:dyDescent="0.2">
      <c r="B4426" s="87" t="str">
        <v/>
      </c>
      <c r="H4426" s="87" t="str">
        <v/>
      </c>
    </row>
    <row r="4427" spans="2:8" x14ac:dyDescent="0.2">
      <c r="B4427" s="87" t="str">
        <v/>
      </c>
      <c r="H4427" s="87" t="str">
        <v/>
      </c>
    </row>
    <row r="4428" spans="2:8" x14ac:dyDescent="0.2">
      <c r="B4428" s="87" t="str">
        <v/>
      </c>
      <c r="H4428" s="87" t="str">
        <v/>
      </c>
    </row>
    <row r="4429" spans="2:8" x14ac:dyDescent="0.2">
      <c r="B4429" s="87" t="str">
        <v/>
      </c>
      <c r="H4429" s="87" t="str">
        <v/>
      </c>
    </row>
    <row r="4430" spans="2:8" x14ac:dyDescent="0.2">
      <c r="B4430" s="87" t="str">
        <v/>
      </c>
      <c r="H4430" s="87" t="str">
        <v/>
      </c>
    </row>
    <row r="4431" spans="2:8" x14ac:dyDescent="0.2">
      <c r="B4431" s="87" t="str">
        <v/>
      </c>
      <c r="H4431" s="87" t="str">
        <v/>
      </c>
    </row>
    <row r="4432" spans="2:8" x14ac:dyDescent="0.2">
      <c r="B4432" s="87" t="str">
        <v/>
      </c>
      <c r="H4432" s="87" t="str">
        <v/>
      </c>
    </row>
    <row r="4433" spans="2:8" x14ac:dyDescent="0.2">
      <c r="B4433" s="87" t="str">
        <v/>
      </c>
      <c r="H4433" s="87" t="str">
        <v/>
      </c>
    </row>
    <row r="4434" spans="2:8" x14ac:dyDescent="0.2">
      <c r="B4434" s="87" t="str">
        <v/>
      </c>
      <c r="H4434" s="87" t="str">
        <v/>
      </c>
    </row>
    <row r="4435" spans="2:8" x14ac:dyDescent="0.2">
      <c r="B4435" s="87" t="str">
        <v/>
      </c>
      <c r="H4435" s="87" t="str">
        <v/>
      </c>
    </row>
    <row r="4436" spans="2:8" x14ac:dyDescent="0.2">
      <c r="B4436" s="87" t="str">
        <v/>
      </c>
      <c r="H4436" s="87" t="str">
        <v/>
      </c>
    </row>
    <row r="4437" spans="2:8" x14ac:dyDescent="0.2">
      <c r="B4437" s="87" t="str">
        <v/>
      </c>
      <c r="H4437" s="87" t="str">
        <v/>
      </c>
    </row>
    <row r="4438" spans="2:8" x14ac:dyDescent="0.2">
      <c r="B4438" s="87" t="str">
        <v/>
      </c>
      <c r="H4438" s="87" t="str">
        <v/>
      </c>
    </row>
    <row r="4439" spans="2:8" x14ac:dyDescent="0.2">
      <c r="B4439" s="87" t="str">
        <v/>
      </c>
      <c r="H4439" s="87" t="str">
        <v/>
      </c>
    </row>
    <row r="4440" spans="2:8" x14ac:dyDescent="0.2">
      <c r="B4440" s="87" t="str">
        <v/>
      </c>
      <c r="H4440" s="87" t="str">
        <v/>
      </c>
    </row>
    <row r="4441" spans="2:8" x14ac:dyDescent="0.2">
      <c r="B4441" s="87" t="str">
        <v/>
      </c>
      <c r="H4441" s="87" t="str">
        <v/>
      </c>
    </row>
    <row r="4442" spans="2:8" x14ac:dyDescent="0.2">
      <c r="B4442" s="87" t="str">
        <v/>
      </c>
      <c r="H4442" s="87" t="str">
        <v/>
      </c>
    </row>
    <row r="4443" spans="2:8" x14ac:dyDescent="0.2">
      <c r="B4443" s="87" t="str">
        <v/>
      </c>
      <c r="H4443" s="87" t="str">
        <v/>
      </c>
    </row>
    <row r="4444" spans="2:8" x14ac:dyDescent="0.2">
      <c r="B4444" s="87" t="str">
        <v/>
      </c>
      <c r="H4444" s="87" t="str">
        <v/>
      </c>
    </row>
    <row r="4445" spans="2:8" x14ac:dyDescent="0.2">
      <c r="B4445" s="87" t="str">
        <v/>
      </c>
      <c r="H4445" s="87" t="str">
        <v/>
      </c>
    </row>
    <row r="4446" spans="2:8" x14ac:dyDescent="0.2">
      <c r="B4446" s="87" t="str">
        <v/>
      </c>
      <c r="H4446" s="87" t="str">
        <v/>
      </c>
    </row>
    <row r="4447" spans="2:8" x14ac:dyDescent="0.2">
      <c r="B4447" s="87" t="str">
        <v/>
      </c>
      <c r="H4447" s="87" t="str">
        <v/>
      </c>
    </row>
    <row r="4448" spans="2:8" x14ac:dyDescent="0.2">
      <c r="B4448" s="87" t="str">
        <v/>
      </c>
      <c r="H4448" s="87" t="str">
        <v/>
      </c>
    </row>
    <row r="4449" spans="2:8" x14ac:dyDescent="0.2">
      <c r="B4449" s="87" t="str">
        <v/>
      </c>
      <c r="H4449" s="87" t="str">
        <v/>
      </c>
    </row>
    <row r="4450" spans="2:8" x14ac:dyDescent="0.2">
      <c r="B4450" s="87" t="str">
        <v/>
      </c>
      <c r="H4450" s="87" t="str">
        <v/>
      </c>
    </row>
    <row r="4451" spans="2:8" x14ac:dyDescent="0.2">
      <c r="B4451" s="87" t="str">
        <v/>
      </c>
      <c r="H4451" s="87" t="str">
        <v/>
      </c>
    </row>
    <row r="4452" spans="2:8" x14ac:dyDescent="0.2">
      <c r="B4452" s="87" t="str">
        <v/>
      </c>
      <c r="H4452" s="87" t="str">
        <v/>
      </c>
    </row>
    <row r="4453" spans="2:8" x14ac:dyDescent="0.2">
      <c r="B4453" s="87" t="str">
        <v/>
      </c>
      <c r="H4453" s="87" t="str">
        <v/>
      </c>
    </row>
    <row r="4454" spans="2:8" x14ac:dyDescent="0.2">
      <c r="B4454" s="87" t="str">
        <v/>
      </c>
      <c r="H4454" s="87" t="str">
        <v/>
      </c>
    </row>
    <row r="4455" spans="2:8" x14ac:dyDescent="0.2">
      <c r="B4455" s="87" t="str">
        <v/>
      </c>
      <c r="H4455" s="87" t="str">
        <v/>
      </c>
    </row>
    <row r="4456" spans="2:8" x14ac:dyDescent="0.2">
      <c r="B4456" s="87" t="str">
        <v/>
      </c>
      <c r="H4456" s="87" t="str">
        <v/>
      </c>
    </row>
    <row r="4457" spans="2:8" x14ac:dyDescent="0.2">
      <c r="B4457" s="87" t="str">
        <v/>
      </c>
      <c r="H4457" s="87" t="str">
        <v/>
      </c>
    </row>
    <row r="4458" spans="2:8" x14ac:dyDescent="0.2">
      <c r="B4458" s="87" t="str">
        <v/>
      </c>
      <c r="H4458" s="87" t="str">
        <v/>
      </c>
    </row>
    <row r="4459" spans="2:8" x14ac:dyDescent="0.2">
      <c r="B4459" s="87" t="str">
        <v/>
      </c>
      <c r="H4459" s="87" t="str">
        <v/>
      </c>
    </row>
    <row r="4460" spans="2:8" x14ac:dyDescent="0.2">
      <c r="B4460" s="87" t="str">
        <v/>
      </c>
      <c r="H4460" s="87" t="str">
        <v/>
      </c>
    </row>
    <row r="4461" spans="2:8" x14ac:dyDescent="0.2">
      <c r="B4461" s="87" t="str">
        <v/>
      </c>
      <c r="H4461" s="87" t="str">
        <v/>
      </c>
    </row>
    <row r="4462" spans="2:8" x14ac:dyDescent="0.2">
      <c r="B4462" s="87" t="str">
        <v/>
      </c>
      <c r="H4462" s="87" t="str">
        <v/>
      </c>
    </row>
    <row r="4463" spans="2:8" x14ac:dyDescent="0.2">
      <c r="B4463" s="87" t="str">
        <v/>
      </c>
      <c r="H4463" s="87" t="str">
        <v/>
      </c>
    </row>
    <row r="4464" spans="2:8" x14ac:dyDescent="0.2">
      <c r="B4464" s="87" t="str">
        <v/>
      </c>
      <c r="H4464" s="87" t="str">
        <v/>
      </c>
    </row>
    <row r="4465" spans="2:8" x14ac:dyDescent="0.2">
      <c r="B4465" s="87" t="str">
        <v/>
      </c>
      <c r="H4465" s="87" t="str">
        <v/>
      </c>
    </row>
    <row r="4466" spans="2:8" x14ac:dyDescent="0.2">
      <c r="B4466" s="87" t="str">
        <v/>
      </c>
      <c r="H4466" s="87" t="str">
        <v/>
      </c>
    </row>
    <row r="4467" spans="2:8" x14ac:dyDescent="0.2">
      <c r="B4467" s="87" t="str">
        <v/>
      </c>
      <c r="H4467" s="87" t="str">
        <v/>
      </c>
    </row>
    <row r="4468" spans="2:8" x14ac:dyDescent="0.2">
      <c r="B4468" s="87" t="str">
        <v/>
      </c>
      <c r="H4468" s="87" t="str">
        <v/>
      </c>
    </row>
    <row r="4469" spans="2:8" x14ac:dyDescent="0.2">
      <c r="B4469" s="87" t="str">
        <v/>
      </c>
      <c r="H4469" s="87" t="str">
        <v/>
      </c>
    </row>
    <row r="4470" spans="2:8" x14ac:dyDescent="0.2">
      <c r="B4470" s="87" t="str">
        <v/>
      </c>
      <c r="H4470" s="87" t="str">
        <v/>
      </c>
    </row>
    <row r="4471" spans="2:8" x14ac:dyDescent="0.2">
      <c r="B4471" s="87" t="str">
        <v/>
      </c>
      <c r="H4471" s="87" t="str">
        <v/>
      </c>
    </row>
    <row r="4472" spans="2:8" x14ac:dyDescent="0.2">
      <c r="B4472" s="87" t="str">
        <v/>
      </c>
      <c r="H4472" s="87" t="str">
        <v/>
      </c>
    </row>
    <row r="4473" spans="2:8" x14ac:dyDescent="0.2">
      <c r="B4473" s="87" t="str">
        <v/>
      </c>
      <c r="H4473" s="87" t="str">
        <v/>
      </c>
    </row>
    <row r="4474" spans="2:8" x14ac:dyDescent="0.2">
      <c r="B4474" s="87" t="str">
        <v/>
      </c>
      <c r="H4474" s="87" t="str">
        <v/>
      </c>
    </row>
    <row r="4475" spans="2:8" x14ac:dyDescent="0.2">
      <c r="B4475" s="87" t="str">
        <v/>
      </c>
      <c r="H4475" s="87" t="str">
        <v/>
      </c>
    </row>
    <row r="4476" spans="2:8" x14ac:dyDescent="0.2">
      <c r="B4476" s="87" t="str">
        <v/>
      </c>
      <c r="H4476" s="87" t="str">
        <v/>
      </c>
    </row>
    <row r="4477" spans="2:8" x14ac:dyDescent="0.2">
      <c r="B4477" s="87" t="str">
        <v/>
      </c>
      <c r="H4477" s="87" t="str">
        <v/>
      </c>
    </row>
    <row r="4478" spans="2:8" x14ac:dyDescent="0.2">
      <c r="B4478" s="87" t="str">
        <v/>
      </c>
      <c r="H4478" s="87" t="str">
        <v/>
      </c>
    </row>
    <row r="4479" spans="2:8" x14ac:dyDescent="0.2">
      <c r="B4479" s="87" t="str">
        <v/>
      </c>
      <c r="H4479" s="87" t="str">
        <v/>
      </c>
    </row>
    <row r="4480" spans="2:8" x14ac:dyDescent="0.2">
      <c r="B4480" s="87" t="str">
        <v/>
      </c>
      <c r="H4480" s="87" t="str">
        <v/>
      </c>
    </row>
    <row r="4481" spans="2:8" x14ac:dyDescent="0.2">
      <c r="B4481" s="87" t="str">
        <v/>
      </c>
      <c r="H4481" s="87" t="str">
        <v/>
      </c>
    </row>
    <row r="4482" spans="2:8" x14ac:dyDescent="0.2">
      <c r="B4482" s="87" t="str">
        <v/>
      </c>
      <c r="H4482" s="87" t="str">
        <v/>
      </c>
    </row>
    <row r="4483" spans="2:8" x14ac:dyDescent="0.2">
      <c r="B4483" s="87" t="str">
        <v/>
      </c>
      <c r="H4483" s="87" t="str">
        <v/>
      </c>
    </row>
    <row r="4484" spans="2:8" x14ac:dyDescent="0.2">
      <c r="B4484" s="87" t="str">
        <v/>
      </c>
      <c r="H4484" s="87" t="str">
        <v/>
      </c>
    </row>
    <row r="4485" spans="2:8" x14ac:dyDescent="0.2">
      <c r="B4485" s="87" t="str">
        <v/>
      </c>
      <c r="H4485" s="87" t="str">
        <v/>
      </c>
    </row>
    <row r="4486" spans="2:8" x14ac:dyDescent="0.2">
      <c r="B4486" s="87" t="str">
        <v/>
      </c>
      <c r="H4486" s="87" t="str">
        <v/>
      </c>
    </row>
    <row r="4487" spans="2:8" x14ac:dyDescent="0.2">
      <c r="B4487" s="87" t="str">
        <v/>
      </c>
      <c r="H4487" s="87" t="str">
        <v/>
      </c>
    </row>
    <row r="4488" spans="2:8" x14ac:dyDescent="0.2">
      <c r="B4488" s="87" t="str">
        <v/>
      </c>
      <c r="H4488" s="87" t="str">
        <v/>
      </c>
    </row>
    <row r="4489" spans="2:8" x14ac:dyDescent="0.2">
      <c r="B4489" s="87" t="str">
        <v/>
      </c>
      <c r="H4489" s="87" t="str">
        <v/>
      </c>
    </row>
    <row r="4490" spans="2:8" x14ac:dyDescent="0.2">
      <c r="B4490" s="87" t="str">
        <v/>
      </c>
      <c r="H4490" s="87" t="str">
        <v/>
      </c>
    </row>
    <row r="4491" spans="2:8" x14ac:dyDescent="0.2">
      <c r="B4491" s="87" t="str">
        <v/>
      </c>
      <c r="H4491" s="87" t="str">
        <v/>
      </c>
    </row>
    <row r="4492" spans="2:8" x14ac:dyDescent="0.2">
      <c r="B4492" s="87" t="str">
        <v/>
      </c>
      <c r="H4492" s="87" t="str">
        <v/>
      </c>
    </row>
    <row r="4493" spans="2:8" x14ac:dyDescent="0.2">
      <c r="B4493" s="87" t="str">
        <v/>
      </c>
      <c r="H4493" s="87" t="str">
        <v/>
      </c>
    </row>
    <row r="4494" spans="2:8" x14ac:dyDescent="0.2">
      <c r="B4494" s="87" t="str">
        <v/>
      </c>
      <c r="H4494" s="87" t="str">
        <v/>
      </c>
    </row>
    <row r="4495" spans="2:8" x14ac:dyDescent="0.2">
      <c r="B4495" s="87" t="str">
        <v/>
      </c>
      <c r="H4495" s="87" t="str">
        <v/>
      </c>
    </row>
    <row r="4496" spans="2:8" x14ac:dyDescent="0.2">
      <c r="B4496" s="87" t="str">
        <v/>
      </c>
      <c r="H4496" s="87" t="str">
        <v/>
      </c>
    </row>
    <row r="4497" spans="2:8" x14ac:dyDescent="0.2">
      <c r="B4497" s="87" t="str">
        <v/>
      </c>
      <c r="H4497" s="87" t="str">
        <v/>
      </c>
    </row>
    <row r="4498" spans="2:8" x14ac:dyDescent="0.2">
      <c r="B4498" s="87" t="str">
        <v/>
      </c>
      <c r="H4498" s="87" t="str">
        <v/>
      </c>
    </row>
    <row r="4499" spans="2:8" x14ac:dyDescent="0.2">
      <c r="B4499" s="87" t="str">
        <v/>
      </c>
      <c r="H4499" s="87" t="str">
        <v/>
      </c>
    </row>
    <row r="4500" spans="2:8" x14ac:dyDescent="0.2">
      <c r="B4500" s="87" t="str">
        <v/>
      </c>
      <c r="H4500" s="87" t="str">
        <v/>
      </c>
    </row>
    <row r="4501" spans="2:8" x14ac:dyDescent="0.2">
      <c r="B4501" s="87" t="str">
        <v/>
      </c>
      <c r="H4501" s="87" t="str">
        <v/>
      </c>
    </row>
    <row r="4502" spans="2:8" x14ac:dyDescent="0.2">
      <c r="B4502" s="87" t="str">
        <v/>
      </c>
      <c r="H4502" s="87" t="str">
        <v/>
      </c>
    </row>
    <row r="4503" spans="2:8" x14ac:dyDescent="0.2">
      <c r="B4503" s="87" t="str">
        <v/>
      </c>
      <c r="H4503" s="87" t="str">
        <v/>
      </c>
    </row>
    <row r="4504" spans="2:8" x14ac:dyDescent="0.2">
      <c r="B4504" s="87" t="str">
        <v/>
      </c>
      <c r="H4504" s="87" t="str">
        <v/>
      </c>
    </row>
    <row r="4505" spans="2:8" x14ac:dyDescent="0.2">
      <c r="B4505" s="87" t="str">
        <v/>
      </c>
      <c r="H4505" s="87" t="str">
        <v/>
      </c>
    </row>
    <row r="4506" spans="2:8" x14ac:dyDescent="0.2">
      <c r="B4506" s="87" t="str">
        <v/>
      </c>
      <c r="H4506" s="87" t="str">
        <v/>
      </c>
    </row>
    <row r="4507" spans="2:8" x14ac:dyDescent="0.2">
      <c r="B4507" s="87" t="str">
        <v/>
      </c>
      <c r="H4507" s="87" t="str">
        <v/>
      </c>
    </row>
    <row r="4508" spans="2:8" x14ac:dyDescent="0.2">
      <c r="B4508" s="87" t="str">
        <v/>
      </c>
      <c r="H4508" s="87" t="str">
        <v/>
      </c>
    </row>
    <row r="4509" spans="2:8" x14ac:dyDescent="0.2">
      <c r="B4509" s="87" t="str">
        <v/>
      </c>
      <c r="H4509" s="87" t="str">
        <v/>
      </c>
    </row>
    <row r="4510" spans="2:8" x14ac:dyDescent="0.2">
      <c r="B4510" s="87" t="str">
        <v/>
      </c>
      <c r="H4510" s="87" t="str">
        <v/>
      </c>
    </row>
    <row r="4511" spans="2:8" x14ac:dyDescent="0.2">
      <c r="B4511" s="87" t="str">
        <v/>
      </c>
      <c r="H4511" s="87" t="str">
        <v/>
      </c>
    </row>
    <row r="4512" spans="2:8" x14ac:dyDescent="0.2">
      <c r="B4512" s="87" t="str">
        <v/>
      </c>
      <c r="H4512" s="87" t="str">
        <v/>
      </c>
    </row>
    <row r="4513" spans="2:8" x14ac:dyDescent="0.2">
      <c r="B4513" s="87" t="str">
        <v/>
      </c>
      <c r="H4513" s="87" t="str">
        <v/>
      </c>
    </row>
    <row r="4514" spans="2:8" x14ac:dyDescent="0.2">
      <c r="B4514" s="87" t="str">
        <v/>
      </c>
      <c r="H4514" s="87" t="str">
        <v/>
      </c>
    </row>
    <row r="4515" spans="2:8" x14ac:dyDescent="0.2">
      <c r="B4515" s="87" t="str">
        <v/>
      </c>
      <c r="H4515" s="87" t="str">
        <v/>
      </c>
    </row>
    <row r="4516" spans="2:8" x14ac:dyDescent="0.2">
      <c r="B4516" s="87" t="str">
        <v/>
      </c>
      <c r="H4516" s="87" t="str">
        <v/>
      </c>
    </row>
    <row r="4517" spans="2:8" x14ac:dyDescent="0.2">
      <c r="B4517" s="87" t="str">
        <v/>
      </c>
      <c r="H4517" s="87" t="str">
        <v/>
      </c>
    </row>
    <row r="4518" spans="2:8" x14ac:dyDescent="0.2">
      <c r="B4518" s="87" t="str">
        <v/>
      </c>
      <c r="H4518" s="87" t="str">
        <v/>
      </c>
    </row>
    <row r="4519" spans="2:8" x14ac:dyDescent="0.2">
      <c r="B4519" s="87" t="str">
        <v/>
      </c>
      <c r="H4519" s="87" t="str">
        <v/>
      </c>
    </row>
    <row r="4520" spans="2:8" x14ac:dyDescent="0.2">
      <c r="B4520" s="87" t="str">
        <v/>
      </c>
      <c r="H4520" s="87" t="str">
        <v/>
      </c>
    </row>
    <row r="4521" spans="2:8" x14ac:dyDescent="0.2">
      <c r="B4521" s="87" t="str">
        <v/>
      </c>
      <c r="H4521" s="87" t="str">
        <v/>
      </c>
    </row>
    <row r="4522" spans="2:8" x14ac:dyDescent="0.2">
      <c r="B4522" s="87" t="str">
        <v/>
      </c>
      <c r="H4522" s="87" t="str">
        <v/>
      </c>
    </row>
    <row r="4523" spans="2:8" x14ac:dyDescent="0.2">
      <c r="B4523" s="87" t="str">
        <v/>
      </c>
      <c r="H4523" s="87" t="str">
        <v/>
      </c>
    </row>
    <row r="4524" spans="2:8" x14ac:dyDescent="0.2">
      <c r="B4524" s="87" t="str">
        <v/>
      </c>
      <c r="H4524" s="87" t="str">
        <v/>
      </c>
    </row>
    <row r="4525" spans="2:8" x14ac:dyDescent="0.2">
      <c r="B4525" s="87" t="str">
        <v/>
      </c>
      <c r="H4525" s="87" t="str">
        <v/>
      </c>
    </row>
    <row r="4526" spans="2:8" x14ac:dyDescent="0.2">
      <c r="B4526" s="87" t="str">
        <v/>
      </c>
      <c r="H4526" s="87" t="str">
        <v/>
      </c>
    </row>
    <row r="4527" spans="2:8" x14ac:dyDescent="0.2">
      <c r="B4527" s="87" t="str">
        <v/>
      </c>
      <c r="H4527" s="87" t="str">
        <v/>
      </c>
    </row>
    <row r="4528" spans="2:8" x14ac:dyDescent="0.2">
      <c r="B4528" s="87" t="str">
        <v/>
      </c>
      <c r="H4528" s="87" t="str">
        <v/>
      </c>
    </row>
    <row r="4529" spans="2:8" x14ac:dyDescent="0.2">
      <c r="B4529" s="87" t="str">
        <v/>
      </c>
      <c r="H4529" s="87" t="str">
        <v/>
      </c>
    </row>
    <row r="4530" spans="2:8" x14ac:dyDescent="0.2">
      <c r="B4530" s="87" t="str">
        <v/>
      </c>
      <c r="H4530" s="87" t="str">
        <v/>
      </c>
    </row>
    <row r="4531" spans="2:8" x14ac:dyDescent="0.2">
      <c r="B4531" s="87" t="str">
        <v/>
      </c>
      <c r="H4531" s="87" t="str">
        <v/>
      </c>
    </row>
    <row r="4532" spans="2:8" x14ac:dyDescent="0.2">
      <c r="B4532" s="87" t="str">
        <v/>
      </c>
      <c r="H4532" s="87" t="str">
        <v/>
      </c>
    </row>
    <row r="4533" spans="2:8" x14ac:dyDescent="0.2">
      <c r="B4533" s="87" t="str">
        <v/>
      </c>
      <c r="H4533" s="87" t="str">
        <v/>
      </c>
    </row>
    <row r="4534" spans="2:8" x14ac:dyDescent="0.2">
      <c r="B4534" s="87" t="str">
        <v/>
      </c>
      <c r="H4534" s="87" t="str">
        <v/>
      </c>
    </row>
    <row r="4535" spans="2:8" x14ac:dyDescent="0.2">
      <c r="B4535" s="87" t="str">
        <v/>
      </c>
      <c r="H4535" s="87" t="str">
        <v/>
      </c>
    </row>
    <row r="4536" spans="2:8" x14ac:dyDescent="0.2">
      <c r="B4536" s="87" t="str">
        <v/>
      </c>
      <c r="H4536" s="87" t="str">
        <v/>
      </c>
    </row>
    <row r="4537" spans="2:8" x14ac:dyDescent="0.2">
      <c r="B4537" s="87" t="str">
        <v/>
      </c>
      <c r="H4537" s="87" t="str">
        <v/>
      </c>
    </row>
    <row r="4538" spans="2:8" x14ac:dyDescent="0.2">
      <c r="B4538" s="87" t="str">
        <v/>
      </c>
      <c r="H4538" s="87" t="str">
        <v/>
      </c>
    </row>
    <row r="4539" spans="2:8" x14ac:dyDescent="0.2">
      <c r="B4539" s="87" t="str">
        <v/>
      </c>
      <c r="H4539" s="87" t="str">
        <v/>
      </c>
    </row>
    <row r="4540" spans="2:8" x14ac:dyDescent="0.2">
      <c r="B4540" s="87" t="str">
        <v/>
      </c>
      <c r="H4540" s="87" t="str">
        <v/>
      </c>
    </row>
    <row r="4541" spans="2:8" x14ac:dyDescent="0.2">
      <c r="B4541" s="87" t="str">
        <v/>
      </c>
      <c r="H4541" s="87" t="str">
        <v/>
      </c>
    </row>
    <row r="4542" spans="2:8" x14ac:dyDescent="0.2">
      <c r="B4542" s="87" t="str">
        <v/>
      </c>
      <c r="H4542" s="87" t="str">
        <v/>
      </c>
    </row>
    <row r="4543" spans="2:8" x14ac:dyDescent="0.2">
      <c r="B4543" s="87" t="str">
        <v/>
      </c>
      <c r="H4543" s="87" t="str">
        <v/>
      </c>
    </row>
    <row r="4544" spans="2:8" x14ac:dyDescent="0.2">
      <c r="B4544" s="87" t="str">
        <v/>
      </c>
      <c r="H4544" s="87" t="str">
        <v/>
      </c>
    </row>
    <row r="4545" spans="2:8" x14ac:dyDescent="0.2">
      <c r="B4545" s="87" t="str">
        <v/>
      </c>
      <c r="H4545" s="87" t="str">
        <v/>
      </c>
    </row>
    <row r="4546" spans="2:8" x14ac:dyDescent="0.2">
      <c r="B4546" s="87" t="str">
        <v/>
      </c>
      <c r="H4546" s="87" t="str">
        <v/>
      </c>
    </row>
    <row r="4547" spans="2:8" x14ac:dyDescent="0.2">
      <c r="B4547" s="87" t="str">
        <v/>
      </c>
      <c r="H4547" s="87" t="str">
        <v/>
      </c>
    </row>
    <row r="4548" spans="2:8" x14ac:dyDescent="0.2">
      <c r="B4548" s="87" t="str">
        <v/>
      </c>
      <c r="H4548" s="87" t="str">
        <v/>
      </c>
    </row>
    <row r="4549" spans="2:8" x14ac:dyDescent="0.2">
      <c r="B4549" s="87" t="str">
        <v/>
      </c>
      <c r="H4549" s="87" t="str">
        <v/>
      </c>
    </row>
    <row r="4550" spans="2:8" x14ac:dyDescent="0.2">
      <c r="B4550" s="87" t="str">
        <v/>
      </c>
      <c r="H4550" s="87" t="str">
        <v/>
      </c>
    </row>
    <row r="4551" spans="2:8" x14ac:dyDescent="0.2">
      <c r="B4551" s="87" t="str">
        <v/>
      </c>
      <c r="H4551" s="87" t="str">
        <v/>
      </c>
    </row>
    <row r="4552" spans="2:8" x14ac:dyDescent="0.2">
      <c r="B4552" s="87" t="str">
        <v/>
      </c>
      <c r="H4552" s="87" t="str">
        <v/>
      </c>
    </row>
    <row r="4553" spans="2:8" x14ac:dyDescent="0.2">
      <c r="B4553" s="87" t="str">
        <v/>
      </c>
      <c r="H4553" s="87" t="str">
        <v/>
      </c>
    </row>
    <row r="4554" spans="2:8" x14ac:dyDescent="0.2">
      <c r="B4554" s="87" t="str">
        <v/>
      </c>
      <c r="H4554" s="87" t="str">
        <v/>
      </c>
    </row>
    <row r="4555" spans="2:8" x14ac:dyDescent="0.2">
      <c r="B4555" s="87" t="str">
        <v/>
      </c>
      <c r="H4555" s="87" t="str">
        <v/>
      </c>
    </row>
    <row r="4556" spans="2:8" x14ac:dyDescent="0.2">
      <c r="B4556" s="87" t="str">
        <v/>
      </c>
      <c r="H4556" s="87" t="str">
        <v/>
      </c>
    </row>
    <row r="4557" spans="2:8" x14ac:dyDescent="0.2">
      <c r="B4557" s="87" t="str">
        <v/>
      </c>
      <c r="H4557" s="87" t="str">
        <v/>
      </c>
    </row>
    <row r="4558" spans="2:8" x14ac:dyDescent="0.2">
      <c r="B4558" s="87" t="str">
        <v/>
      </c>
      <c r="H4558" s="87" t="str">
        <v/>
      </c>
    </row>
    <row r="4559" spans="2:8" x14ac:dyDescent="0.2">
      <c r="B4559" s="87" t="str">
        <v/>
      </c>
      <c r="H4559" s="87" t="str">
        <v/>
      </c>
    </row>
    <row r="4560" spans="2:8" x14ac:dyDescent="0.2">
      <c r="B4560" s="87" t="str">
        <v/>
      </c>
      <c r="H4560" s="87" t="str">
        <v/>
      </c>
    </row>
    <row r="4561" spans="2:8" x14ac:dyDescent="0.2">
      <c r="B4561" s="87" t="str">
        <v/>
      </c>
      <c r="H4561" s="87" t="str">
        <v/>
      </c>
    </row>
    <row r="4562" spans="2:8" x14ac:dyDescent="0.2">
      <c r="B4562" s="87" t="str">
        <v/>
      </c>
      <c r="H4562" s="87" t="str">
        <v/>
      </c>
    </row>
    <row r="4563" spans="2:8" x14ac:dyDescent="0.2">
      <c r="B4563" s="87" t="str">
        <v/>
      </c>
      <c r="H4563" s="87" t="str">
        <v/>
      </c>
    </row>
    <row r="4564" spans="2:8" x14ac:dyDescent="0.2">
      <c r="B4564" s="87" t="str">
        <v/>
      </c>
      <c r="H4564" s="87" t="str">
        <v/>
      </c>
    </row>
    <row r="4565" spans="2:8" x14ac:dyDescent="0.2">
      <c r="B4565" s="87" t="str">
        <v/>
      </c>
      <c r="H4565" s="87" t="str">
        <v/>
      </c>
    </row>
    <row r="4566" spans="2:8" x14ac:dyDescent="0.2">
      <c r="B4566" s="87" t="str">
        <v/>
      </c>
      <c r="H4566" s="87" t="str">
        <v/>
      </c>
    </row>
    <row r="4567" spans="2:8" x14ac:dyDescent="0.2">
      <c r="B4567" s="87" t="str">
        <v/>
      </c>
      <c r="H4567" s="87" t="str">
        <v/>
      </c>
    </row>
    <row r="4568" spans="2:8" x14ac:dyDescent="0.2">
      <c r="B4568" s="87" t="str">
        <v/>
      </c>
      <c r="H4568" s="87" t="str">
        <v/>
      </c>
    </row>
    <row r="4569" spans="2:8" x14ac:dyDescent="0.2">
      <c r="B4569" s="87" t="str">
        <v/>
      </c>
      <c r="H4569" s="87" t="str">
        <v/>
      </c>
    </row>
    <row r="4570" spans="2:8" x14ac:dyDescent="0.2">
      <c r="B4570" s="87" t="str">
        <v/>
      </c>
      <c r="H4570" s="87" t="str">
        <v/>
      </c>
    </row>
    <row r="4571" spans="2:8" x14ac:dyDescent="0.2">
      <c r="B4571" s="87" t="str">
        <v/>
      </c>
      <c r="H4571" s="87" t="str">
        <v/>
      </c>
    </row>
    <row r="4572" spans="2:8" x14ac:dyDescent="0.2">
      <c r="B4572" s="87" t="str">
        <v/>
      </c>
      <c r="H4572" s="87" t="str">
        <v/>
      </c>
    </row>
    <row r="4573" spans="2:8" x14ac:dyDescent="0.2">
      <c r="B4573" s="87" t="str">
        <v/>
      </c>
      <c r="H4573" s="87" t="str">
        <v/>
      </c>
    </row>
    <row r="4574" spans="2:8" x14ac:dyDescent="0.2">
      <c r="B4574" s="87" t="str">
        <v/>
      </c>
      <c r="H4574" s="87" t="str">
        <v/>
      </c>
    </row>
    <row r="4575" spans="2:8" x14ac:dyDescent="0.2">
      <c r="B4575" s="87" t="str">
        <v/>
      </c>
      <c r="H4575" s="87" t="str">
        <v/>
      </c>
    </row>
    <row r="4576" spans="2:8" x14ac:dyDescent="0.2">
      <c r="B4576" s="87" t="str">
        <v/>
      </c>
      <c r="H4576" s="87" t="str">
        <v/>
      </c>
    </row>
    <row r="4577" spans="2:8" x14ac:dyDescent="0.2">
      <c r="B4577" s="87" t="str">
        <v/>
      </c>
      <c r="H4577" s="87" t="str">
        <v/>
      </c>
    </row>
    <row r="4578" spans="2:8" x14ac:dyDescent="0.2">
      <c r="B4578" s="87" t="str">
        <v/>
      </c>
      <c r="H4578" s="87" t="str">
        <v/>
      </c>
    </row>
    <row r="4579" spans="2:8" x14ac:dyDescent="0.2">
      <c r="B4579" s="87" t="str">
        <v/>
      </c>
      <c r="H4579" s="87" t="str">
        <v/>
      </c>
    </row>
    <row r="4580" spans="2:8" x14ac:dyDescent="0.2">
      <c r="B4580" s="87" t="str">
        <v/>
      </c>
      <c r="H4580" s="87" t="str">
        <v/>
      </c>
    </row>
    <row r="4581" spans="2:8" x14ac:dyDescent="0.2">
      <c r="B4581" s="87" t="str">
        <v/>
      </c>
      <c r="H4581" s="87" t="str">
        <v/>
      </c>
    </row>
    <row r="4582" spans="2:8" x14ac:dyDescent="0.2">
      <c r="B4582" s="87" t="str">
        <v/>
      </c>
      <c r="H4582" s="87" t="str">
        <v/>
      </c>
    </row>
    <row r="4583" spans="2:8" x14ac:dyDescent="0.2">
      <c r="B4583" s="87" t="str">
        <v/>
      </c>
      <c r="H4583" s="87" t="str">
        <v/>
      </c>
    </row>
    <row r="4584" spans="2:8" x14ac:dyDescent="0.2">
      <c r="B4584" s="87" t="str">
        <v/>
      </c>
      <c r="H4584" s="87" t="str">
        <v/>
      </c>
    </row>
    <row r="4585" spans="2:8" x14ac:dyDescent="0.2">
      <c r="B4585" s="87" t="str">
        <v/>
      </c>
      <c r="H4585" s="87" t="str">
        <v/>
      </c>
    </row>
    <row r="4586" spans="2:8" x14ac:dyDescent="0.2">
      <c r="B4586" s="87" t="str">
        <v/>
      </c>
      <c r="H4586" s="87" t="str">
        <v/>
      </c>
    </row>
    <row r="4587" spans="2:8" x14ac:dyDescent="0.2">
      <c r="B4587" s="87" t="str">
        <v/>
      </c>
      <c r="H4587" s="87" t="str">
        <v/>
      </c>
    </row>
    <row r="4588" spans="2:8" x14ac:dyDescent="0.2">
      <c r="B4588" s="87" t="str">
        <v/>
      </c>
      <c r="H4588" s="87" t="str">
        <v/>
      </c>
    </row>
    <row r="4589" spans="2:8" x14ac:dyDescent="0.2">
      <c r="B4589" s="87" t="str">
        <v/>
      </c>
      <c r="H4589" s="87" t="str">
        <v/>
      </c>
    </row>
    <row r="4590" spans="2:8" x14ac:dyDescent="0.2">
      <c r="B4590" s="87" t="str">
        <v/>
      </c>
      <c r="H4590" s="87" t="str">
        <v/>
      </c>
    </row>
    <row r="4591" spans="2:8" x14ac:dyDescent="0.2">
      <c r="B4591" s="87" t="str">
        <v/>
      </c>
      <c r="H4591" s="87" t="str">
        <v/>
      </c>
    </row>
    <row r="4592" spans="2:8" x14ac:dyDescent="0.2">
      <c r="B4592" s="87" t="str">
        <v/>
      </c>
      <c r="H4592" s="87" t="str">
        <v/>
      </c>
    </row>
    <row r="4593" spans="2:8" x14ac:dyDescent="0.2">
      <c r="B4593" s="87" t="str">
        <v/>
      </c>
      <c r="H4593" s="87" t="str">
        <v/>
      </c>
    </row>
    <row r="4594" spans="2:8" x14ac:dyDescent="0.2">
      <c r="B4594" s="87" t="str">
        <v/>
      </c>
      <c r="H4594" s="87" t="str">
        <v/>
      </c>
    </row>
    <row r="4595" spans="2:8" x14ac:dyDescent="0.2">
      <c r="B4595" s="87" t="str">
        <v/>
      </c>
      <c r="H4595" s="87" t="str">
        <v/>
      </c>
    </row>
    <row r="4596" spans="2:8" x14ac:dyDescent="0.2">
      <c r="B4596" s="87" t="str">
        <v/>
      </c>
      <c r="H4596" s="87" t="str">
        <v/>
      </c>
    </row>
    <row r="4597" spans="2:8" x14ac:dyDescent="0.2">
      <c r="B4597" s="87" t="str">
        <v/>
      </c>
      <c r="H4597" s="87" t="str">
        <v/>
      </c>
    </row>
    <row r="4598" spans="2:8" x14ac:dyDescent="0.2">
      <c r="B4598" s="87" t="str">
        <v/>
      </c>
      <c r="H4598" s="87" t="str">
        <v/>
      </c>
    </row>
    <row r="4599" spans="2:8" x14ac:dyDescent="0.2">
      <c r="B4599" s="87" t="str">
        <v/>
      </c>
      <c r="H4599" s="87" t="str">
        <v/>
      </c>
    </row>
    <row r="4600" spans="2:8" x14ac:dyDescent="0.2">
      <c r="B4600" s="87" t="str">
        <v/>
      </c>
      <c r="H4600" s="87" t="str">
        <v/>
      </c>
    </row>
    <row r="4601" spans="2:8" x14ac:dyDescent="0.2">
      <c r="B4601" s="87" t="str">
        <v/>
      </c>
      <c r="H4601" s="87" t="str">
        <v/>
      </c>
    </row>
    <row r="4602" spans="2:8" x14ac:dyDescent="0.2">
      <c r="B4602" s="87" t="str">
        <v/>
      </c>
      <c r="H4602" s="87" t="str">
        <v/>
      </c>
    </row>
    <row r="4603" spans="2:8" x14ac:dyDescent="0.2">
      <c r="B4603" s="87" t="str">
        <v/>
      </c>
      <c r="H4603" s="87" t="str">
        <v/>
      </c>
    </row>
    <row r="4604" spans="2:8" x14ac:dyDescent="0.2">
      <c r="B4604" s="87" t="str">
        <v/>
      </c>
      <c r="H4604" s="87" t="str">
        <v/>
      </c>
    </row>
    <row r="4605" spans="2:8" x14ac:dyDescent="0.2">
      <c r="B4605" s="87" t="str">
        <v/>
      </c>
      <c r="H4605" s="87" t="str">
        <v/>
      </c>
    </row>
    <row r="4606" spans="2:8" x14ac:dyDescent="0.2">
      <c r="B4606" s="87" t="str">
        <v/>
      </c>
      <c r="H4606" s="87" t="str">
        <v/>
      </c>
    </row>
    <row r="4607" spans="2:8" x14ac:dyDescent="0.2">
      <c r="B4607" s="87" t="str">
        <v/>
      </c>
      <c r="H4607" s="87" t="str">
        <v/>
      </c>
    </row>
    <row r="4608" spans="2:8" x14ac:dyDescent="0.2">
      <c r="B4608" s="87" t="str">
        <v/>
      </c>
      <c r="H4608" s="87" t="str">
        <v/>
      </c>
    </row>
    <row r="4609" spans="2:8" x14ac:dyDescent="0.2">
      <c r="B4609" s="87" t="str">
        <v/>
      </c>
      <c r="H4609" s="87" t="str">
        <v/>
      </c>
    </row>
    <row r="4610" spans="2:8" x14ac:dyDescent="0.2">
      <c r="B4610" s="87" t="str">
        <v/>
      </c>
      <c r="H4610" s="87" t="str">
        <v/>
      </c>
    </row>
    <row r="4611" spans="2:8" x14ac:dyDescent="0.2">
      <c r="B4611" s="87" t="str">
        <v/>
      </c>
      <c r="H4611" s="87" t="str">
        <v/>
      </c>
    </row>
    <row r="4612" spans="2:8" x14ac:dyDescent="0.2">
      <c r="B4612" s="87" t="str">
        <v/>
      </c>
      <c r="H4612" s="87" t="str">
        <v/>
      </c>
    </row>
    <row r="4613" spans="2:8" x14ac:dyDescent="0.2">
      <c r="B4613" s="87" t="str">
        <v/>
      </c>
      <c r="H4613" s="87" t="str">
        <v/>
      </c>
    </row>
    <row r="4614" spans="2:8" x14ac:dyDescent="0.2">
      <c r="B4614" s="87" t="str">
        <v/>
      </c>
      <c r="H4614" s="87" t="str">
        <v/>
      </c>
    </row>
    <row r="4615" spans="2:8" x14ac:dyDescent="0.2">
      <c r="B4615" s="87" t="str">
        <v/>
      </c>
      <c r="H4615" s="87" t="str">
        <v/>
      </c>
    </row>
    <row r="4616" spans="2:8" x14ac:dyDescent="0.2">
      <c r="B4616" s="87" t="str">
        <v/>
      </c>
      <c r="H4616" s="87" t="str">
        <v/>
      </c>
    </row>
    <row r="4617" spans="2:8" x14ac:dyDescent="0.2">
      <c r="B4617" s="87" t="str">
        <v/>
      </c>
      <c r="H4617" s="87" t="str">
        <v/>
      </c>
    </row>
    <row r="4618" spans="2:8" x14ac:dyDescent="0.2">
      <c r="B4618" s="87" t="str">
        <v/>
      </c>
      <c r="H4618" s="87" t="str">
        <v/>
      </c>
    </row>
    <row r="4619" spans="2:8" x14ac:dyDescent="0.2">
      <c r="B4619" s="87" t="str">
        <v/>
      </c>
      <c r="H4619" s="87" t="str">
        <v/>
      </c>
    </row>
    <row r="4620" spans="2:8" x14ac:dyDescent="0.2">
      <c r="B4620" s="87" t="str">
        <v/>
      </c>
      <c r="H4620" s="87" t="str">
        <v/>
      </c>
    </row>
    <row r="4621" spans="2:8" x14ac:dyDescent="0.2">
      <c r="B4621" s="87" t="str">
        <v/>
      </c>
      <c r="H4621" s="87" t="str">
        <v/>
      </c>
    </row>
    <row r="4622" spans="2:8" x14ac:dyDescent="0.2">
      <c r="B4622" s="87" t="str">
        <v/>
      </c>
      <c r="H4622" s="87" t="str">
        <v/>
      </c>
    </row>
    <row r="4623" spans="2:8" x14ac:dyDescent="0.2">
      <c r="B4623" s="87" t="str">
        <v/>
      </c>
      <c r="H4623" s="87" t="str">
        <v/>
      </c>
    </row>
    <row r="4624" spans="2:8" x14ac:dyDescent="0.2">
      <c r="B4624" s="87" t="str">
        <v/>
      </c>
      <c r="H4624" s="87" t="str">
        <v/>
      </c>
    </row>
    <row r="4625" spans="2:8" x14ac:dyDescent="0.2">
      <c r="B4625" s="87" t="str">
        <v/>
      </c>
      <c r="H4625" s="87" t="str">
        <v/>
      </c>
    </row>
    <row r="4626" spans="2:8" x14ac:dyDescent="0.2">
      <c r="B4626" s="87" t="str">
        <v/>
      </c>
      <c r="H4626" s="87" t="str">
        <v/>
      </c>
    </row>
    <row r="4627" spans="2:8" x14ac:dyDescent="0.2">
      <c r="B4627" s="87" t="str">
        <v/>
      </c>
      <c r="H4627" s="87" t="str">
        <v/>
      </c>
    </row>
    <row r="4628" spans="2:8" x14ac:dyDescent="0.2">
      <c r="B4628" s="87" t="str">
        <v/>
      </c>
      <c r="H4628" s="87" t="str">
        <v/>
      </c>
    </row>
    <row r="4629" spans="2:8" x14ac:dyDescent="0.2">
      <c r="B4629" s="87" t="str">
        <v/>
      </c>
      <c r="H4629" s="87" t="str">
        <v/>
      </c>
    </row>
    <row r="4630" spans="2:8" x14ac:dyDescent="0.2">
      <c r="B4630" s="87" t="str">
        <v/>
      </c>
      <c r="H4630" s="87" t="str">
        <v/>
      </c>
    </row>
    <row r="4631" spans="2:8" x14ac:dyDescent="0.2">
      <c r="B4631" s="87" t="str">
        <v/>
      </c>
      <c r="H4631" s="87" t="str">
        <v/>
      </c>
    </row>
    <row r="4632" spans="2:8" x14ac:dyDescent="0.2">
      <c r="B4632" s="87" t="str">
        <v/>
      </c>
      <c r="H4632" s="87" t="str">
        <v/>
      </c>
    </row>
    <row r="4633" spans="2:8" x14ac:dyDescent="0.2">
      <c r="B4633" s="87" t="str">
        <v/>
      </c>
      <c r="H4633" s="87" t="str">
        <v/>
      </c>
    </row>
    <row r="4634" spans="2:8" x14ac:dyDescent="0.2">
      <c r="B4634" s="87" t="str">
        <v/>
      </c>
      <c r="H4634" s="87" t="str">
        <v/>
      </c>
    </row>
    <row r="4635" spans="2:8" x14ac:dyDescent="0.2">
      <c r="B4635" s="87" t="str">
        <v/>
      </c>
      <c r="H4635" s="87" t="str">
        <v/>
      </c>
    </row>
    <row r="4636" spans="2:8" x14ac:dyDescent="0.2">
      <c r="B4636" s="87" t="str">
        <v/>
      </c>
      <c r="H4636" s="87" t="str">
        <v/>
      </c>
    </row>
    <row r="4637" spans="2:8" x14ac:dyDescent="0.2">
      <c r="B4637" s="87" t="str">
        <v/>
      </c>
      <c r="H4637" s="87" t="str">
        <v/>
      </c>
    </row>
    <row r="4638" spans="2:8" x14ac:dyDescent="0.2">
      <c r="B4638" s="87" t="str">
        <v/>
      </c>
      <c r="H4638" s="87" t="str">
        <v/>
      </c>
    </row>
    <row r="4639" spans="2:8" x14ac:dyDescent="0.2">
      <c r="B4639" s="87" t="str">
        <v/>
      </c>
      <c r="H4639" s="87" t="str">
        <v/>
      </c>
    </row>
    <row r="4640" spans="2:8" x14ac:dyDescent="0.2">
      <c r="B4640" s="87" t="str">
        <v/>
      </c>
      <c r="H4640" s="87" t="str">
        <v/>
      </c>
    </row>
    <row r="4641" spans="2:8" x14ac:dyDescent="0.2">
      <c r="B4641" s="87" t="str">
        <v/>
      </c>
      <c r="H4641" s="87" t="str">
        <v/>
      </c>
    </row>
    <row r="4642" spans="2:8" x14ac:dyDescent="0.2">
      <c r="B4642" s="87" t="str">
        <v/>
      </c>
      <c r="H4642" s="87" t="str">
        <v/>
      </c>
    </row>
    <row r="4643" spans="2:8" x14ac:dyDescent="0.2">
      <c r="B4643" s="87" t="str">
        <v/>
      </c>
      <c r="H4643" s="87" t="str">
        <v/>
      </c>
    </row>
    <row r="4644" spans="2:8" x14ac:dyDescent="0.2">
      <c r="B4644" s="87" t="str">
        <v/>
      </c>
      <c r="H4644" s="87" t="str">
        <v/>
      </c>
    </row>
    <row r="4645" spans="2:8" x14ac:dyDescent="0.2">
      <c r="B4645" s="87" t="str">
        <v/>
      </c>
      <c r="H4645" s="87" t="str">
        <v/>
      </c>
    </row>
    <row r="4646" spans="2:8" x14ac:dyDescent="0.2">
      <c r="B4646" s="87" t="str">
        <v/>
      </c>
      <c r="H4646" s="87" t="str">
        <v/>
      </c>
    </row>
    <row r="4647" spans="2:8" x14ac:dyDescent="0.2">
      <c r="B4647" s="87" t="str">
        <v/>
      </c>
      <c r="H4647" s="87" t="str">
        <v/>
      </c>
    </row>
    <row r="4648" spans="2:8" x14ac:dyDescent="0.2">
      <c r="B4648" s="87" t="str">
        <v/>
      </c>
      <c r="H4648" s="87" t="str">
        <v/>
      </c>
    </row>
    <row r="4649" spans="2:8" x14ac:dyDescent="0.2">
      <c r="B4649" s="87" t="str">
        <v/>
      </c>
      <c r="H4649" s="87" t="str">
        <v/>
      </c>
    </row>
    <row r="4650" spans="2:8" x14ac:dyDescent="0.2">
      <c r="B4650" s="87" t="str">
        <v/>
      </c>
      <c r="H4650" s="87" t="str">
        <v/>
      </c>
    </row>
    <row r="4651" spans="2:8" x14ac:dyDescent="0.2">
      <c r="B4651" s="87" t="str">
        <v/>
      </c>
      <c r="H4651" s="87" t="str">
        <v/>
      </c>
    </row>
    <row r="4652" spans="2:8" x14ac:dyDescent="0.2">
      <c r="B4652" s="87" t="str">
        <v/>
      </c>
      <c r="H4652" s="87" t="str">
        <v/>
      </c>
    </row>
    <row r="4653" spans="2:8" x14ac:dyDescent="0.2">
      <c r="B4653" s="87" t="str">
        <v/>
      </c>
      <c r="H4653" s="87" t="str">
        <v/>
      </c>
    </row>
    <row r="4654" spans="2:8" x14ac:dyDescent="0.2">
      <c r="B4654" s="87" t="str">
        <v/>
      </c>
      <c r="H4654" s="87" t="str">
        <v/>
      </c>
    </row>
    <row r="4655" spans="2:8" x14ac:dyDescent="0.2">
      <c r="B4655" s="87" t="str">
        <v/>
      </c>
      <c r="H4655" s="87" t="str">
        <v/>
      </c>
    </row>
    <row r="4656" spans="2:8" x14ac:dyDescent="0.2">
      <c r="B4656" s="87" t="str">
        <v/>
      </c>
      <c r="H4656" s="87" t="str">
        <v/>
      </c>
    </row>
    <row r="4657" spans="2:8" x14ac:dyDescent="0.2">
      <c r="B4657" s="87" t="str">
        <v/>
      </c>
      <c r="H4657" s="87" t="str">
        <v/>
      </c>
    </row>
    <row r="4658" spans="2:8" x14ac:dyDescent="0.2">
      <c r="B4658" s="87" t="str">
        <v/>
      </c>
      <c r="H4658" s="87" t="str">
        <v/>
      </c>
    </row>
    <row r="4659" spans="2:8" x14ac:dyDescent="0.2">
      <c r="B4659" s="87" t="str">
        <v/>
      </c>
      <c r="H4659" s="87" t="str">
        <v/>
      </c>
    </row>
    <row r="4660" spans="2:8" x14ac:dyDescent="0.2">
      <c r="B4660" s="87" t="str">
        <v/>
      </c>
      <c r="H4660" s="87" t="str">
        <v/>
      </c>
    </row>
    <row r="4661" spans="2:8" x14ac:dyDescent="0.2">
      <c r="B4661" s="87" t="str">
        <v/>
      </c>
      <c r="H4661" s="87" t="str">
        <v/>
      </c>
    </row>
    <row r="4662" spans="2:8" x14ac:dyDescent="0.2">
      <c r="B4662" s="87" t="str">
        <v/>
      </c>
      <c r="H4662" s="87" t="str">
        <v/>
      </c>
    </row>
    <row r="4663" spans="2:8" x14ac:dyDescent="0.2">
      <c r="B4663" s="87" t="str">
        <v/>
      </c>
      <c r="H4663" s="87" t="str">
        <v/>
      </c>
    </row>
    <row r="4664" spans="2:8" x14ac:dyDescent="0.2">
      <c r="B4664" s="87" t="str">
        <v/>
      </c>
      <c r="H4664" s="87" t="str">
        <v/>
      </c>
    </row>
    <row r="4665" spans="2:8" x14ac:dyDescent="0.2">
      <c r="B4665" s="87" t="str">
        <v/>
      </c>
      <c r="H4665" s="87" t="str">
        <v/>
      </c>
    </row>
    <row r="4666" spans="2:8" x14ac:dyDescent="0.2">
      <c r="B4666" s="87" t="str">
        <v/>
      </c>
      <c r="H4666" s="87" t="str">
        <v/>
      </c>
    </row>
    <row r="4667" spans="2:8" x14ac:dyDescent="0.2">
      <c r="B4667" s="87" t="str">
        <v/>
      </c>
      <c r="H4667" s="87" t="str">
        <v/>
      </c>
    </row>
    <row r="4668" spans="2:8" x14ac:dyDescent="0.2">
      <c r="B4668" s="87" t="str">
        <v/>
      </c>
      <c r="H4668" s="87" t="str">
        <v/>
      </c>
    </row>
    <row r="4669" spans="2:8" x14ac:dyDescent="0.2">
      <c r="B4669" s="87" t="str">
        <v/>
      </c>
      <c r="H4669" s="87" t="str">
        <v/>
      </c>
    </row>
    <row r="4670" spans="2:8" x14ac:dyDescent="0.2">
      <c r="B4670" s="87" t="str">
        <v/>
      </c>
      <c r="H4670" s="87" t="str">
        <v/>
      </c>
    </row>
    <row r="4671" spans="2:8" x14ac:dyDescent="0.2">
      <c r="B4671" s="87" t="str">
        <v/>
      </c>
      <c r="H4671" s="87" t="str">
        <v/>
      </c>
    </row>
    <row r="4672" spans="2:8" x14ac:dyDescent="0.2">
      <c r="B4672" s="87" t="str">
        <v/>
      </c>
      <c r="H4672" s="87" t="str">
        <v/>
      </c>
    </row>
    <row r="4673" spans="2:8" x14ac:dyDescent="0.2">
      <c r="B4673" s="87" t="str">
        <v/>
      </c>
      <c r="H4673" s="87" t="str">
        <v/>
      </c>
    </row>
    <row r="4674" spans="2:8" x14ac:dyDescent="0.2">
      <c r="B4674" s="87" t="str">
        <v/>
      </c>
      <c r="H4674" s="87" t="str">
        <v/>
      </c>
    </row>
    <row r="4675" spans="2:8" x14ac:dyDescent="0.2">
      <c r="B4675" s="87" t="str">
        <v/>
      </c>
      <c r="H4675" s="87" t="str">
        <v/>
      </c>
    </row>
    <row r="4676" spans="2:8" x14ac:dyDescent="0.2">
      <c r="B4676" s="87" t="str">
        <v/>
      </c>
      <c r="H4676" s="87" t="str">
        <v/>
      </c>
    </row>
    <row r="4677" spans="2:8" x14ac:dyDescent="0.2">
      <c r="B4677" s="87" t="str">
        <v/>
      </c>
      <c r="H4677" s="87" t="str">
        <v/>
      </c>
    </row>
    <row r="4678" spans="2:8" x14ac:dyDescent="0.2">
      <c r="B4678" s="87" t="str">
        <v/>
      </c>
      <c r="H4678" s="87" t="str">
        <v/>
      </c>
    </row>
    <row r="4679" spans="2:8" x14ac:dyDescent="0.2">
      <c r="B4679" s="87" t="str">
        <v/>
      </c>
      <c r="H4679" s="87" t="str">
        <v/>
      </c>
    </row>
    <row r="4680" spans="2:8" x14ac:dyDescent="0.2">
      <c r="B4680" s="87" t="str">
        <v/>
      </c>
      <c r="H4680" s="87" t="str">
        <v/>
      </c>
    </row>
    <row r="4681" spans="2:8" x14ac:dyDescent="0.2">
      <c r="B4681" s="87" t="str">
        <v/>
      </c>
      <c r="H4681" s="87" t="str">
        <v/>
      </c>
    </row>
    <row r="4682" spans="2:8" x14ac:dyDescent="0.2">
      <c r="B4682" s="87" t="str">
        <v/>
      </c>
      <c r="H4682" s="87" t="str">
        <v/>
      </c>
    </row>
    <row r="4683" spans="2:8" x14ac:dyDescent="0.2">
      <c r="B4683" s="87" t="str">
        <v/>
      </c>
      <c r="H4683" s="87" t="str">
        <v/>
      </c>
    </row>
    <row r="4684" spans="2:8" x14ac:dyDescent="0.2">
      <c r="B4684" s="87" t="str">
        <v/>
      </c>
      <c r="H4684" s="87" t="str">
        <v/>
      </c>
    </row>
    <row r="4685" spans="2:8" x14ac:dyDescent="0.2">
      <c r="B4685" s="87" t="str">
        <v/>
      </c>
      <c r="H4685" s="87" t="str">
        <v/>
      </c>
    </row>
    <row r="4686" spans="2:8" x14ac:dyDescent="0.2">
      <c r="B4686" s="87" t="str">
        <v/>
      </c>
      <c r="H4686" s="87" t="str">
        <v/>
      </c>
    </row>
    <row r="4687" spans="2:8" x14ac:dyDescent="0.2">
      <c r="B4687" s="87" t="str">
        <v/>
      </c>
      <c r="H4687" s="87" t="str">
        <v/>
      </c>
    </row>
    <row r="4688" spans="2:8" x14ac:dyDescent="0.2">
      <c r="B4688" s="87" t="str">
        <v/>
      </c>
      <c r="H4688" s="87" t="str">
        <v/>
      </c>
    </row>
    <row r="4689" spans="2:8" x14ac:dyDescent="0.2">
      <c r="B4689" s="87" t="str">
        <v/>
      </c>
      <c r="H4689" s="87" t="str">
        <v/>
      </c>
    </row>
    <row r="4690" spans="2:8" x14ac:dyDescent="0.2">
      <c r="B4690" s="87" t="str">
        <v/>
      </c>
      <c r="H4690" s="87" t="str">
        <v/>
      </c>
    </row>
    <row r="4691" spans="2:8" x14ac:dyDescent="0.2">
      <c r="B4691" s="87" t="str">
        <v/>
      </c>
      <c r="H4691" s="87" t="str">
        <v/>
      </c>
    </row>
    <row r="4692" spans="2:8" x14ac:dyDescent="0.2">
      <c r="B4692" s="87" t="str">
        <v/>
      </c>
      <c r="H4692" s="87" t="str">
        <v/>
      </c>
    </row>
    <row r="4693" spans="2:8" x14ac:dyDescent="0.2">
      <c r="B4693" s="87" t="str">
        <v/>
      </c>
      <c r="H4693" s="87" t="str">
        <v/>
      </c>
    </row>
    <row r="4694" spans="2:8" x14ac:dyDescent="0.2">
      <c r="B4694" s="87" t="str">
        <v/>
      </c>
      <c r="H4694" s="87" t="str">
        <v/>
      </c>
    </row>
    <row r="4695" spans="2:8" x14ac:dyDescent="0.2">
      <c r="B4695" s="87" t="str">
        <v/>
      </c>
      <c r="H4695" s="87" t="str">
        <v/>
      </c>
    </row>
    <row r="4696" spans="2:8" x14ac:dyDescent="0.2">
      <c r="B4696" s="87" t="str">
        <v/>
      </c>
      <c r="H4696" s="87" t="str">
        <v/>
      </c>
    </row>
    <row r="4697" spans="2:8" x14ac:dyDescent="0.2">
      <c r="B4697" s="87" t="str">
        <v/>
      </c>
      <c r="H4697" s="87" t="str">
        <v/>
      </c>
    </row>
    <row r="4698" spans="2:8" x14ac:dyDescent="0.2">
      <c r="B4698" s="87" t="str">
        <v/>
      </c>
      <c r="H4698" s="87" t="str">
        <v/>
      </c>
    </row>
    <row r="4699" spans="2:8" x14ac:dyDescent="0.2">
      <c r="B4699" s="87" t="str">
        <v/>
      </c>
      <c r="H4699" s="87" t="str">
        <v/>
      </c>
    </row>
    <row r="4700" spans="2:8" x14ac:dyDescent="0.2">
      <c r="B4700" s="87" t="str">
        <v/>
      </c>
      <c r="H4700" s="87" t="str">
        <v/>
      </c>
    </row>
    <row r="4701" spans="2:8" x14ac:dyDescent="0.2">
      <c r="B4701" s="87" t="str">
        <v/>
      </c>
      <c r="H4701" s="87" t="str">
        <v/>
      </c>
    </row>
    <row r="4702" spans="2:8" x14ac:dyDescent="0.2">
      <c r="B4702" s="87" t="str">
        <v/>
      </c>
      <c r="H4702" s="87" t="str">
        <v/>
      </c>
    </row>
    <row r="4703" spans="2:8" x14ac:dyDescent="0.2">
      <c r="B4703" s="87" t="str">
        <v/>
      </c>
      <c r="H4703" s="87" t="str">
        <v/>
      </c>
    </row>
    <row r="4704" spans="2:8" x14ac:dyDescent="0.2">
      <c r="B4704" s="87" t="str">
        <v/>
      </c>
      <c r="H4704" s="87" t="str">
        <v/>
      </c>
    </row>
    <row r="4705" spans="2:8" x14ac:dyDescent="0.2">
      <c r="B4705" s="87" t="str">
        <v/>
      </c>
      <c r="H4705" s="87" t="str">
        <v/>
      </c>
    </row>
    <row r="4706" spans="2:8" x14ac:dyDescent="0.2">
      <c r="B4706" s="87" t="str">
        <v/>
      </c>
      <c r="H4706" s="87" t="str">
        <v/>
      </c>
    </row>
    <row r="4707" spans="2:8" x14ac:dyDescent="0.2">
      <c r="B4707" s="87" t="str">
        <v/>
      </c>
      <c r="H4707" s="87" t="str">
        <v/>
      </c>
    </row>
    <row r="4708" spans="2:8" x14ac:dyDescent="0.2">
      <c r="B4708" s="87" t="str">
        <v/>
      </c>
      <c r="H4708" s="87" t="str">
        <v/>
      </c>
    </row>
    <row r="4709" spans="2:8" x14ac:dyDescent="0.2">
      <c r="B4709" s="87" t="str">
        <v/>
      </c>
      <c r="H4709" s="87" t="str">
        <v/>
      </c>
    </row>
    <row r="4710" spans="2:8" x14ac:dyDescent="0.2">
      <c r="B4710" s="87" t="str">
        <v/>
      </c>
      <c r="H4710" s="87" t="str">
        <v/>
      </c>
    </row>
    <row r="4711" spans="2:8" x14ac:dyDescent="0.2">
      <c r="B4711" s="87" t="str">
        <v/>
      </c>
      <c r="H4711" s="87" t="str">
        <v/>
      </c>
    </row>
    <row r="4712" spans="2:8" x14ac:dyDescent="0.2">
      <c r="B4712" s="87" t="str">
        <v/>
      </c>
      <c r="H4712" s="87" t="str">
        <v/>
      </c>
    </row>
    <row r="4713" spans="2:8" x14ac:dyDescent="0.2">
      <c r="B4713" s="87" t="str">
        <v/>
      </c>
      <c r="H4713" s="87" t="str">
        <v/>
      </c>
    </row>
    <row r="4714" spans="2:8" x14ac:dyDescent="0.2">
      <c r="B4714" s="87" t="str">
        <v/>
      </c>
      <c r="H4714" s="87" t="str">
        <v/>
      </c>
    </row>
    <row r="4715" spans="2:8" x14ac:dyDescent="0.2">
      <c r="B4715" s="87" t="str">
        <v/>
      </c>
      <c r="H4715" s="87" t="str">
        <v/>
      </c>
    </row>
    <row r="4716" spans="2:8" x14ac:dyDescent="0.2">
      <c r="B4716" s="87" t="str">
        <v/>
      </c>
      <c r="H4716" s="87" t="str">
        <v/>
      </c>
    </row>
    <row r="4717" spans="2:8" x14ac:dyDescent="0.2">
      <c r="B4717" s="87" t="str">
        <v/>
      </c>
      <c r="H4717" s="87" t="str">
        <v/>
      </c>
    </row>
    <row r="4718" spans="2:8" x14ac:dyDescent="0.2">
      <c r="B4718" s="87" t="str">
        <v/>
      </c>
      <c r="H4718" s="87" t="str">
        <v/>
      </c>
    </row>
    <row r="4719" spans="2:8" x14ac:dyDescent="0.2">
      <c r="B4719" s="87" t="str">
        <v/>
      </c>
      <c r="H4719" s="87" t="str">
        <v/>
      </c>
    </row>
    <row r="4720" spans="2:8" x14ac:dyDescent="0.2">
      <c r="B4720" s="87" t="str">
        <v/>
      </c>
      <c r="H4720" s="87" t="str">
        <v/>
      </c>
    </row>
    <row r="4721" spans="2:8" x14ac:dyDescent="0.2">
      <c r="B4721" s="87" t="str">
        <v/>
      </c>
      <c r="H4721" s="87" t="str">
        <v/>
      </c>
    </row>
    <row r="4722" spans="2:8" x14ac:dyDescent="0.2">
      <c r="B4722" s="87" t="str">
        <v/>
      </c>
      <c r="H4722" s="87" t="str">
        <v/>
      </c>
    </row>
    <row r="4723" spans="2:8" x14ac:dyDescent="0.2">
      <c r="B4723" s="87" t="str">
        <v/>
      </c>
      <c r="H4723" s="87" t="str">
        <v/>
      </c>
    </row>
    <row r="4724" spans="2:8" x14ac:dyDescent="0.2">
      <c r="B4724" s="87" t="str">
        <v/>
      </c>
      <c r="H4724" s="87" t="str">
        <v/>
      </c>
    </row>
    <row r="4725" spans="2:8" x14ac:dyDescent="0.2">
      <c r="B4725" s="87" t="str">
        <v/>
      </c>
      <c r="H4725" s="87" t="str">
        <v/>
      </c>
    </row>
    <row r="4726" spans="2:8" x14ac:dyDescent="0.2">
      <c r="B4726" s="87" t="str">
        <v/>
      </c>
      <c r="H4726" s="87" t="str">
        <v/>
      </c>
    </row>
    <row r="4727" spans="2:8" x14ac:dyDescent="0.2">
      <c r="B4727" s="87" t="str">
        <v/>
      </c>
      <c r="H4727" s="87" t="str">
        <v/>
      </c>
    </row>
    <row r="4728" spans="2:8" x14ac:dyDescent="0.2">
      <c r="B4728" s="87" t="str">
        <v/>
      </c>
      <c r="H4728" s="87" t="str">
        <v/>
      </c>
    </row>
    <row r="4729" spans="2:8" x14ac:dyDescent="0.2">
      <c r="B4729" s="87" t="str">
        <v/>
      </c>
      <c r="H4729" s="87" t="str">
        <v/>
      </c>
    </row>
    <row r="4730" spans="2:8" x14ac:dyDescent="0.2">
      <c r="B4730" s="87" t="str">
        <v/>
      </c>
      <c r="H4730" s="87" t="str">
        <v/>
      </c>
    </row>
    <row r="4731" spans="2:8" x14ac:dyDescent="0.2">
      <c r="B4731" s="87" t="str">
        <v/>
      </c>
      <c r="H4731" s="87" t="str">
        <v/>
      </c>
    </row>
    <row r="4732" spans="2:8" x14ac:dyDescent="0.2">
      <c r="B4732" s="87" t="str">
        <v/>
      </c>
      <c r="H4732" s="87" t="str">
        <v/>
      </c>
    </row>
    <row r="4733" spans="2:8" x14ac:dyDescent="0.2">
      <c r="B4733" s="87" t="str">
        <v/>
      </c>
      <c r="H4733" s="87" t="str">
        <v/>
      </c>
    </row>
    <row r="4734" spans="2:8" x14ac:dyDescent="0.2">
      <c r="B4734" s="87" t="str">
        <v/>
      </c>
      <c r="H4734" s="87" t="str">
        <v/>
      </c>
    </row>
    <row r="4735" spans="2:8" x14ac:dyDescent="0.2">
      <c r="B4735" s="87" t="str">
        <v/>
      </c>
      <c r="H4735" s="87" t="str">
        <v/>
      </c>
    </row>
    <row r="4736" spans="2:8" x14ac:dyDescent="0.2">
      <c r="B4736" s="87" t="str">
        <v/>
      </c>
      <c r="H4736" s="87" t="str">
        <v/>
      </c>
    </row>
    <row r="4737" spans="2:8" x14ac:dyDescent="0.2">
      <c r="B4737" s="87" t="str">
        <v/>
      </c>
      <c r="H4737" s="87" t="str">
        <v/>
      </c>
    </row>
    <row r="4738" spans="2:8" x14ac:dyDescent="0.2">
      <c r="B4738" s="87" t="str">
        <v/>
      </c>
      <c r="H4738" s="87" t="str">
        <v/>
      </c>
    </row>
    <row r="4739" spans="2:8" x14ac:dyDescent="0.2">
      <c r="B4739" s="87" t="str">
        <v/>
      </c>
      <c r="H4739" s="87" t="str">
        <v/>
      </c>
    </row>
    <row r="4740" spans="2:8" x14ac:dyDescent="0.2">
      <c r="B4740" s="87" t="str">
        <v/>
      </c>
      <c r="H4740" s="87" t="str">
        <v/>
      </c>
    </row>
    <row r="4741" spans="2:8" x14ac:dyDescent="0.2">
      <c r="B4741" s="87" t="str">
        <v/>
      </c>
      <c r="H4741" s="87" t="str">
        <v/>
      </c>
    </row>
    <row r="4742" spans="2:8" x14ac:dyDescent="0.2">
      <c r="B4742" s="87" t="str">
        <v/>
      </c>
      <c r="H4742" s="87" t="str">
        <v/>
      </c>
    </row>
    <row r="4743" spans="2:8" x14ac:dyDescent="0.2">
      <c r="B4743" s="87" t="str">
        <v/>
      </c>
      <c r="H4743" s="87" t="str">
        <v/>
      </c>
    </row>
    <row r="4744" spans="2:8" x14ac:dyDescent="0.2">
      <c r="B4744" s="87" t="str">
        <v/>
      </c>
      <c r="H4744" s="87" t="str">
        <v/>
      </c>
    </row>
    <row r="4745" spans="2:8" x14ac:dyDescent="0.2">
      <c r="B4745" s="87" t="str">
        <v/>
      </c>
      <c r="H4745" s="87" t="str">
        <v/>
      </c>
    </row>
    <row r="4746" spans="2:8" x14ac:dyDescent="0.2">
      <c r="B4746" s="87" t="str">
        <v/>
      </c>
      <c r="H4746" s="87" t="str">
        <v/>
      </c>
    </row>
    <row r="4747" spans="2:8" x14ac:dyDescent="0.2">
      <c r="B4747" s="87" t="str">
        <v/>
      </c>
      <c r="H4747" s="87" t="str">
        <v/>
      </c>
    </row>
    <row r="4748" spans="2:8" x14ac:dyDescent="0.2">
      <c r="B4748" s="87" t="str">
        <v/>
      </c>
      <c r="H4748" s="87" t="str">
        <v/>
      </c>
    </row>
    <row r="4749" spans="2:8" x14ac:dyDescent="0.2">
      <c r="B4749" s="87" t="str">
        <v/>
      </c>
      <c r="H4749" s="87" t="str">
        <v/>
      </c>
    </row>
    <row r="4750" spans="2:8" x14ac:dyDescent="0.2">
      <c r="B4750" s="87" t="str">
        <v/>
      </c>
      <c r="H4750" s="87" t="str">
        <v/>
      </c>
    </row>
    <row r="4751" spans="2:8" x14ac:dyDescent="0.2">
      <c r="B4751" s="87" t="str">
        <v/>
      </c>
      <c r="H4751" s="87" t="str">
        <v/>
      </c>
    </row>
    <row r="4752" spans="2:8" x14ac:dyDescent="0.2">
      <c r="B4752" s="87" t="str">
        <v/>
      </c>
      <c r="H4752" s="87" t="str">
        <v/>
      </c>
    </row>
    <row r="4753" spans="2:8" x14ac:dyDescent="0.2">
      <c r="B4753" s="87" t="str">
        <v/>
      </c>
      <c r="H4753" s="87" t="str">
        <v/>
      </c>
    </row>
    <row r="4754" spans="2:8" x14ac:dyDescent="0.2">
      <c r="B4754" s="87" t="str">
        <v/>
      </c>
      <c r="H4754" s="87" t="str">
        <v/>
      </c>
    </row>
    <row r="4755" spans="2:8" x14ac:dyDescent="0.2">
      <c r="B4755" s="87" t="str">
        <v/>
      </c>
      <c r="H4755" s="87" t="str">
        <v/>
      </c>
    </row>
    <row r="4756" spans="2:8" x14ac:dyDescent="0.2">
      <c r="B4756" s="87" t="str">
        <v/>
      </c>
      <c r="H4756" s="87" t="str">
        <v/>
      </c>
    </row>
    <row r="4757" spans="2:8" x14ac:dyDescent="0.2">
      <c r="B4757" s="87" t="str">
        <v/>
      </c>
      <c r="H4757" s="87" t="str">
        <v/>
      </c>
    </row>
    <row r="4758" spans="2:8" x14ac:dyDescent="0.2">
      <c r="B4758" s="87" t="str">
        <v/>
      </c>
      <c r="H4758" s="87" t="str">
        <v/>
      </c>
    </row>
    <row r="4759" spans="2:8" x14ac:dyDescent="0.2">
      <c r="B4759" s="87" t="str">
        <v/>
      </c>
      <c r="H4759" s="87" t="str">
        <v/>
      </c>
    </row>
    <row r="4760" spans="2:8" x14ac:dyDescent="0.2">
      <c r="B4760" s="87" t="str">
        <v/>
      </c>
      <c r="H4760" s="87" t="str">
        <v/>
      </c>
    </row>
    <row r="4761" spans="2:8" x14ac:dyDescent="0.2">
      <c r="B4761" s="87" t="str">
        <v/>
      </c>
      <c r="H4761" s="87" t="str">
        <v/>
      </c>
    </row>
    <row r="4762" spans="2:8" x14ac:dyDescent="0.2">
      <c r="B4762" s="87" t="str">
        <v/>
      </c>
      <c r="H4762" s="87" t="str">
        <v/>
      </c>
    </row>
    <row r="4763" spans="2:8" x14ac:dyDescent="0.2">
      <c r="B4763" s="87" t="str">
        <v/>
      </c>
      <c r="H4763" s="87" t="str">
        <v/>
      </c>
    </row>
    <row r="4764" spans="2:8" x14ac:dyDescent="0.2">
      <c r="B4764" s="87" t="str">
        <v/>
      </c>
      <c r="H4764" s="87" t="str">
        <v/>
      </c>
    </row>
    <row r="4765" spans="2:8" x14ac:dyDescent="0.2">
      <c r="B4765" s="87" t="str">
        <v/>
      </c>
      <c r="H4765" s="87" t="str">
        <v/>
      </c>
    </row>
    <row r="4766" spans="2:8" x14ac:dyDescent="0.2">
      <c r="B4766" s="87" t="str">
        <v/>
      </c>
      <c r="H4766" s="87" t="str">
        <v/>
      </c>
    </row>
    <row r="4767" spans="2:8" x14ac:dyDescent="0.2">
      <c r="B4767" s="87" t="str">
        <v/>
      </c>
      <c r="H4767" s="87" t="str">
        <v/>
      </c>
    </row>
    <row r="4768" spans="2:8" x14ac:dyDescent="0.2">
      <c r="B4768" s="87" t="str">
        <v/>
      </c>
      <c r="H4768" s="87" t="str">
        <v/>
      </c>
    </row>
    <row r="4769" spans="2:8" x14ac:dyDescent="0.2">
      <c r="B4769" s="87" t="str">
        <v/>
      </c>
      <c r="H4769" s="87" t="str">
        <v/>
      </c>
    </row>
    <row r="4770" spans="2:8" x14ac:dyDescent="0.2">
      <c r="B4770" s="87" t="str">
        <v/>
      </c>
      <c r="H4770" s="87" t="str">
        <v/>
      </c>
    </row>
    <row r="4771" spans="2:8" x14ac:dyDescent="0.2">
      <c r="B4771" s="87" t="str">
        <v/>
      </c>
      <c r="H4771" s="87" t="str">
        <v/>
      </c>
    </row>
    <row r="4772" spans="2:8" x14ac:dyDescent="0.2">
      <c r="B4772" s="87" t="str">
        <v/>
      </c>
      <c r="H4772" s="87" t="str">
        <v/>
      </c>
    </row>
    <row r="4773" spans="2:8" x14ac:dyDescent="0.2">
      <c r="B4773" s="87" t="str">
        <v/>
      </c>
      <c r="H4773" s="87" t="str">
        <v/>
      </c>
    </row>
    <row r="4774" spans="2:8" x14ac:dyDescent="0.2">
      <c r="B4774" s="87" t="str">
        <v/>
      </c>
      <c r="H4774" s="87" t="str">
        <v/>
      </c>
    </row>
    <row r="4775" spans="2:8" x14ac:dyDescent="0.2">
      <c r="B4775" s="87" t="str">
        <v/>
      </c>
      <c r="H4775" s="87" t="str">
        <v/>
      </c>
    </row>
    <row r="4776" spans="2:8" x14ac:dyDescent="0.2">
      <c r="B4776" s="87" t="str">
        <v/>
      </c>
      <c r="H4776" s="87" t="str">
        <v/>
      </c>
    </row>
    <row r="4777" spans="2:8" x14ac:dyDescent="0.2">
      <c r="B4777" s="87" t="str">
        <v/>
      </c>
      <c r="H4777" s="87" t="str">
        <v/>
      </c>
    </row>
    <row r="4778" spans="2:8" x14ac:dyDescent="0.2">
      <c r="B4778" s="87" t="str">
        <v/>
      </c>
      <c r="H4778" s="87" t="str">
        <v/>
      </c>
    </row>
    <row r="4779" spans="2:8" x14ac:dyDescent="0.2">
      <c r="B4779" s="87" t="str">
        <v/>
      </c>
      <c r="H4779" s="87" t="str">
        <v/>
      </c>
    </row>
    <row r="4780" spans="2:8" x14ac:dyDescent="0.2">
      <c r="B4780" s="87" t="str">
        <v/>
      </c>
      <c r="H4780" s="87" t="str">
        <v/>
      </c>
    </row>
    <row r="4781" spans="2:8" x14ac:dyDescent="0.2">
      <c r="B4781" s="87" t="str">
        <v/>
      </c>
      <c r="H4781" s="87" t="str">
        <v/>
      </c>
    </row>
    <row r="4782" spans="2:8" x14ac:dyDescent="0.2">
      <c r="B4782" s="87" t="str">
        <v/>
      </c>
      <c r="H4782" s="87" t="str">
        <v/>
      </c>
    </row>
    <row r="4783" spans="2:8" x14ac:dyDescent="0.2">
      <c r="B4783" s="87" t="str">
        <v/>
      </c>
      <c r="H4783" s="87" t="str">
        <v/>
      </c>
    </row>
    <row r="4784" spans="2:8" x14ac:dyDescent="0.2">
      <c r="B4784" s="87" t="str">
        <v/>
      </c>
      <c r="H4784" s="87" t="str">
        <v/>
      </c>
    </row>
    <row r="4785" spans="2:8" x14ac:dyDescent="0.2">
      <c r="B4785" s="87" t="str">
        <v/>
      </c>
      <c r="H4785" s="87" t="str">
        <v/>
      </c>
    </row>
    <row r="4786" spans="2:8" x14ac:dyDescent="0.2">
      <c r="B4786" s="87" t="str">
        <v/>
      </c>
      <c r="H4786" s="87" t="str">
        <v/>
      </c>
    </row>
    <row r="4787" spans="2:8" x14ac:dyDescent="0.2">
      <c r="B4787" s="87" t="str">
        <v/>
      </c>
      <c r="H4787" s="87" t="str">
        <v/>
      </c>
    </row>
    <row r="4788" spans="2:8" x14ac:dyDescent="0.2">
      <c r="B4788" s="87" t="str">
        <v/>
      </c>
      <c r="H4788" s="87" t="str">
        <v/>
      </c>
    </row>
    <row r="4789" spans="2:8" x14ac:dyDescent="0.2">
      <c r="B4789" s="87" t="str">
        <v/>
      </c>
      <c r="H4789" s="87" t="str">
        <v/>
      </c>
    </row>
    <row r="4790" spans="2:8" x14ac:dyDescent="0.2">
      <c r="B4790" s="87" t="str">
        <v/>
      </c>
      <c r="H4790" s="87" t="str">
        <v/>
      </c>
    </row>
    <row r="4791" spans="2:8" x14ac:dyDescent="0.2">
      <c r="B4791" s="87" t="str">
        <v/>
      </c>
      <c r="H4791" s="87" t="str">
        <v/>
      </c>
    </row>
    <row r="4792" spans="2:8" x14ac:dyDescent="0.2">
      <c r="B4792" s="87" t="str">
        <v/>
      </c>
      <c r="H4792" s="87" t="str">
        <v/>
      </c>
    </row>
    <row r="4793" spans="2:8" x14ac:dyDescent="0.2">
      <c r="B4793" s="87" t="str">
        <v/>
      </c>
      <c r="H4793" s="87" t="str">
        <v/>
      </c>
    </row>
    <row r="4794" spans="2:8" x14ac:dyDescent="0.2">
      <c r="B4794" s="87" t="str">
        <v/>
      </c>
      <c r="H4794" s="87" t="str">
        <v/>
      </c>
    </row>
    <row r="4795" spans="2:8" x14ac:dyDescent="0.2">
      <c r="B4795" s="87" t="str">
        <v/>
      </c>
      <c r="H4795" s="87" t="str">
        <v/>
      </c>
    </row>
    <row r="4796" spans="2:8" x14ac:dyDescent="0.2">
      <c r="B4796" s="87" t="str">
        <v/>
      </c>
      <c r="H4796" s="87" t="str">
        <v/>
      </c>
    </row>
    <row r="4797" spans="2:8" x14ac:dyDescent="0.2">
      <c r="B4797" s="87" t="str">
        <v/>
      </c>
      <c r="H4797" s="87" t="str">
        <v/>
      </c>
    </row>
    <row r="4798" spans="2:8" x14ac:dyDescent="0.2">
      <c r="B4798" s="87" t="str">
        <v/>
      </c>
      <c r="H4798" s="87" t="str">
        <v/>
      </c>
    </row>
    <row r="4799" spans="2:8" x14ac:dyDescent="0.2">
      <c r="B4799" s="87" t="str">
        <v/>
      </c>
      <c r="H4799" s="87" t="str">
        <v/>
      </c>
    </row>
    <row r="4800" spans="2:8" x14ac:dyDescent="0.2">
      <c r="B4800" s="87" t="str">
        <v/>
      </c>
      <c r="H4800" s="87" t="str">
        <v/>
      </c>
    </row>
    <row r="4801" spans="2:8" x14ac:dyDescent="0.2">
      <c r="B4801" s="87" t="str">
        <v/>
      </c>
      <c r="H4801" s="87" t="str">
        <v/>
      </c>
    </row>
  </sheetData>
  <hyperlinks>
    <hyperlink ref="A154" r:id="rId1" display="http://moneychimp.com/" xr:uid="{00000000-0004-0000-0100-000000000000}"/>
    <hyperlink ref="A239" r:id="rId2" display="http://wwwabc.com/" xr:uid="{00000000-0004-0000-0100-000001000000}"/>
    <hyperlink ref="A477" r:id="rId3" display="http://financial-net.com/" xr:uid="{00000000-0004-0000-0100-000002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M2559"/>
  <sheetViews>
    <sheetView workbookViewId="0"/>
  </sheetViews>
  <sheetFormatPr defaultColWidth="12.5703125" defaultRowHeight="15.75" customHeight="1" x14ac:dyDescent="0.2"/>
  <sheetData>
    <row r="1" spans="1:13" x14ac:dyDescent="0.2">
      <c r="A1" s="87" t="s">
        <v>555</v>
      </c>
      <c r="B1" s="87" t="s">
        <v>556</v>
      </c>
      <c r="C1" s="87" t="s">
        <v>557</v>
      </c>
      <c r="D1" s="87" t="s">
        <v>558</v>
      </c>
      <c r="E1" s="87" t="s">
        <v>559</v>
      </c>
      <c r="F1" s="87" t="s">
        <v>560</v>
      </c>
      <c r="G1" s="87" t="s">
        <v>561</v>
      </c>
      <c r="H1" s="87" t="s">
        <v>562</v>
      </c>
      <c r="I1" s="87" t="s">
        <v>563</v>
      </c>
      <c r="J1" s="87" t="s">
        <v>564</v>
      </c>
      <c r="K1" s="87" t="s">
        <v>565</v>
      </c>
      <c r="L1" s="87" t="s">
        <v>566</v>
      </c>
      <c r="M1" s="87" t="s">
        <v>567</v>
      </c>
    </row>
    <row r="2" spans="1:13" x14ac:dyDescent="0.2">
      <c r="A2" s="87">
        <v>1</v>
      </c>
      <c r="B2" s="87" t="s">
        <v>119</v>
      </c>
      <c r="C2" s="87">
        <v>1</v>
      </c>
      <c r="D2" s="87">
        <v>1</v>
      </c>
      <c r="F2" s="87">
        <v>80</v>
      </c>
      <c r="G2" s="92" t="str">
        <f>HYPERLINK("https://www.abcfinancial.net/","https://www.abcfinancial.net/")</f>
        <v>https://www.abcfinancial.net/</v>
      </c>
      <c r="H2" s="87">
        <v>13</v>
      </c>
      <c r="I2" s="87">
        <v>17</v>
      </c>
      <c r="K2" s="93">
        <v>44246.421030092592</v>
      </c>
      <c r="M2" s="87" t="s">
        <v>568</v>
      </c>
    </row>
    <row r="3" spans="1:13" x14ac:dyDescent="0.2">
      <c r="A3" s="87">
        <v>2</v>
      </c>
      <c r="B3" s="87" t="s">
        <v>264</v>
      </c>
      <c r="C3" s="87">
        <v>3</v>
      </c>
      <c r="D3" s="87">
        <v>3</v>
      </c>
      <c r="F3" s="87">
        <v>60</v>
      </c>
      <c r="G3" s="92" t="str">
        <f>HYPERLINK("https://www.abcfinancial.net/resource-center/investment","https://www.abcfinancial.net/resource-center/investment")</f>
        <v>https://www.abcfinancial.net/resource-center/investment</v>
      </c>
      <c r="H3" s="87">
        <v>19</v>
      </c>
      <c r="I3" s="87">
        <v>7</v>
      </c>
      <c r="J3" s="87">
        <v>1.8</v>
      </c>
      <c r="K3" s="93">
        <v>44245.220081018517</v>
      </c>
      <c r="M3" s="87" t="s">
        <v>569</v>
      </c>
    </row>
    <row r="4" spans="1:13" x14ac:dyDescent="0.2">
      <c r="A4" s="87">
        <v>3</v>
      </c>
      <c r="B4" s="87" t="s">
        <v>450</v>
      </c>
      <c r="C4" s="87">
        <v>1</v>
      </c>
      <c r="D4" s="87">
        <v>1</v>
      </c>
      <c r="E4" s="93"/>
      <c r="F4" s="87">
        <v>20</v>
      </c>
      <c r="G4" s="92" t="str">
        <f>HYPERLINK("https://www.abcfinancial.net/team/tom-whitnah-1","https://www.abcfinancial.net/team/tom-whitnah-1")</f>
        <v>https://www.abcfinancial.net/team/tom-whitnah-1</v>
      </c>
      <c r="H4" s="87">
        <v>0</v>
      </c>
      <c r="I4" s="87">
        <v>6</v>
      </c>
      <c r="K4" s="93">
        <v>44225.92895833333</v>
      </c>
      <c r="M4" s="87" t="s">
        <v>570</v>
      </c>
    </row>
    <row r="5" spans="1:13" x14ac:dyDescent="0.2">
      <c r="A5" s="87">
        <v>4</v>
      </c>
      <c r="B5" s="87" t="s">
        <v>179</v>
      </c>
      <c r="C5" s="87">
        <v>5</v>
      </c>
      <c r="D5" s="87">
        <v>5</v>
      </c>
      <c r="F5" s="87">
        <v>80</v>
      </c>
      <c r="G5" s="92" t="str">
        <f>HYPERLINK("https://www.abcfinancial.net/","https://www.abcfinancial.net/")</f>
        <v>https://www.abcfinancial.net/</v>
      </c>
      <c r="H5" s="87">
        <v>7</v>
      </c>
      <c r="I5" s="87">
        <v>6</v>
      </c>
      <c r="J5" s="87">
        <v>0.06</v>
      </c>
      <c r="K5" s="93">
        <v>44233.065347222226</v>
      </c>
      <c r="M5" s="87" t="s">
        <v>571</v>
      </c>
    </row>
    <row r="6" spans="1:13" x14ac:dyDescent="0.2">
      <c r="A6" s="87">
        <v>5</v>
      </c>
      <c r="B6" s="87" t="s">
        <v>220</v>
      </c>
      <c r="C6" s="87">
        <v>8</v>
      </c>
      <c r="D6" s="87">
        <v>8</v>
      </c>
      <c r="F6" s="87">
        <v>100</v>
      </c>
      <c r="G6" s="92" t="str">
        <f>HYPERLINK("https://www.abcfinancial.net/resource-center/investment","https://www.abcfinancial.net/resource-center/investment")</f>
        <v>https://www.abcfinancial.net/resource-center/investment</v>
      </c>
      <c r="H6" s="87">
        <v>21</v>
      </c>
      <c r="I6" s="87">
        <v>4</v>
      </c>
      <c r="K6" s="93">
        <v>44232.103229166663</v>
      </c>
      <c r="M6" s="87" t="s">
        <v>568</v>
      </c>
    </row>
    <row r="7" spans="1:13" x14ac:dyDescent="0.2">
      <c r="A7" s="87">
        <v>6</v>
      </c>
      <c r="B7" s="87" t="s">
        <v>319</v>
      </c>
      <c r="C7" s="87">
        <v>4</v>
      </c>
      <c r="D7" s="87">
        <v>32</v>
      </c>
      <c r="E7" s="93">
        <v>44219.162847222222</v>
      </c>
      <c r="F7" s="87">
        <v>40</v>
      </c>
      <c r="G7" s="92" t="str">
        <f>HYPERLINK("https://www.abcfinancial.net/","https://www.abcfinancial.net/")</f>
        <v>https://www.abcfinancial.net/</v>
      </c>
      <c r="H7" s="87">
        <v>35</v>
      </c>
      <c r="I7" s="87">
        <v>3.3</v>
      </c>
      <c r="J7" s="87">
        <v>0.25</v>
      </c>
      <c r="K7" s="93">
        <v>44247.463101851848</v>
      </c>
      <c r="M7" s="87" t="s">
        <v>572</v>
      </c>
    </row>
    <row r="8" spans="1:13" x14ac:dyDescent="0.2">
      <c r="A8" s="87">
        <v>7</v>
      </c>
      <c r="B8" s="87" t="s">
        <v>418</v>
      </c>
      <c r="C8" s="87">
        <v>4</v>
      </c>
      <c r="D8" s="87">
        <v>3</v>
      </c>
      <c r="E8" s="93">
        <v>44199.501076388886</v>
      </c>
      <c r="F8" s="87">
        <v>20</v>
      </c>
      <c r="G8" s="92" t="str">
        <f>HYPERLINK("https://www.abcfinancial.net/resource-center/retirement","https://www.abcfinancial.net/resource-center/retirement")</f>
        <v>https://www.abcfinancial.net/resource-center/retirement</v>
      </c>
      <c r="H8" s="87">
        <v>4</v>
      </c>
      <c r="I8" s="87">
        <v>2.2000000000000002</v>
      </c>
      <c r="J8" s="87">
        <v>5</v>
      </c>
      <c r="K8" s="93">
        <v>44225.198391203703</v>
      </c>
      <c r="M8" s="87" t="s">
        <v>573</v>
      </c>
    </row>
    <row r="9" spans="1:13" x14ac:dyDescent="0.2">
      <c r="A9" s="87">
        <v>8</v>
      </c>
      <c r="B9" s="87" t="s">
        <v>115</v>
      </c>
      <c r="C9" s="87">
        <v>12</v>
      </c>
      <c r="D9" s="87">
        <v>10</v>
      </c>
      <c r="E9" s="93">
        <v>44213.347939814812</v>
      </c>
      <c r="F9" s="87">
        <v>200</v>
      </c>
      <c r="G9" s="92" t="str">
        <f>HYPERLINK("https://www.abcfinancial.net/","https://www.abcfinancial.net/")</f>
        <v>https://www.abcfinancial.net/</v>
      </c>
      <c r="H9" s="87">
        <v>20</v>
      </c>
      <c r="I9" s="87">
        <v>1.3</v>
      </c>
      <c r="J9" s="87">
        <v>0.03</v>
      </c>
      <c r="K9" s="93">
        <v>44239.099374999998</v>
      </c>
      <c r="M9" s="87" t="s">
        <v>574</v>
      </c>
    </row>
    <row r="10" spans="1:13" x14ac:dyDescent="0.2">
      <c r="A10" s="87">
        <v>9</v>
      </c>
      <c r="B10" s="87" t="s">
        <v>246</v>
      </c>
      <c r="C10" s="87">
        <v>13</v>
      </c>
      <c r="D10" s="87">
        <v>13</v>
      </c>
      <c r="E10" s="93"/>
      <c r="F10" s="87">
        <v>100</v>
      </c>
      <c r="G10" s="92" t="str">
        <f>HYPERLINK("https://www.abcfinancial.net/resource-center/lifestyle/the-financial-literacy-crisis","https://www.abcfinancial.net/resource-center/lifestyle/the-financial-literacy-crisis")</f>
        <v>https://www.abcfinancial.net/resource-center/lifestyle/the-financial-literacy-crisis</v>
      </c>
      <c r="H10" s="87">
        <v>6</v>
      </c>
      <c r="I10" s="87">
        <v>1.2</v>
      </c>
      <c r="J10" s="87">
        <v>0.9</v>
      </c>
      <c r="K10" s="93">
        <v>44234.763460648152</v>
      </c>
      <c r="M10" s="87" t="s">
        <v>575</v>
      </c>
    </row>
    <row r="11" spans="1:13" x14ac:dyDescent="0.2">
      <c r="A11" s="87">
        <v>10</v>
      </c>
      <c r="B11" s="87" t="s">
        <v>258</v>
      </c>
      <c r="C11" s="87">
        <v>8</v>
      </c>
      <c r="D11" s="87">
        <v>10</v>
      </c>
      <c r="E11" s="93">
        <v>44203.354699074072</v>
      </c>
      <c r="F11" s="87">
        <v>30</v>
      </c>
      <c r="G11" s="92" t="str">
        <f>HYPERLINK("https://www.abcfinancial.net/team/robert-withers-1","https://www.abcfinancial.net/team/robert-withers-1")</f>
        <v>https://www.abcfinancial.net/team/robert-withers-1</v>
      </c>
      <c r="H11" s="87">
        <v>0</v>
      </c>
      <c r="I11" s="87">
        <v>1.1000000000000001</v>
      </c>
      <c r="K11" s="93">
        <v>44229.959340277775</v>
      </c>
      <c r="M11" s="87" t="s">
        <v>576</v>
      </c>
    </row>
    <row r="12" spans="1:13" x14ac:dyDescent="0.2">
      <c r="A12" s="87">
        <v>11</v>
      </c>
      <c r="B12" s="87" t="s">
        <v>173</v>
      </c>
      <c r="C12" s="87">
        <v>19</v>
      </c>
      <c r="D12" s="87">
        <v>32</v>
      </c>
      <c r="E12" s="93">
        <v>44204.101412037038</v>
      </c>
      <c r="F12" s="87">
        <v>200</v>
      </c>
      <c r="G12" s="92" t="str">
        <f>HYPERLINK("https://www.abcfinancial.net/","https://www.abcfinancial.net/")</f>
        <v>https://www.abcfinancial.net/</v>
      </c>
      <c r="H12" s="87">
        <v>75</v>
      </c>
      <c r="I12" s="87">
        <v>0.84</v>
      </c>
      <c r="J12" s="87">
        <v>0.9</v>
      </c>
      <c r="K12" s="93">
        <v>44230.28670138889</v>
      </c>
      <c r="M12" s="87" t="s">
        <v>572</v>
      </c>
    </row>
    <row r="13" spans="1:13" x14ac:dyDescent="0.2">
      <c r="A13" s="87">
        <v>12</v>
      </c>
      <c r="B13" s="87" t="s">
        <v>229</v>
      </c>
      <c r="C13" s="87">
        <v>13</v>
      </c>
      <c r="D13" s="87">
        <v>19</v>
      </c>
      <c r="E13" s="93">
        <v>44195.878055555557</v>
      </c>
      <c r="F13" s="87">
        <v>60</v>
      </c>
      <c r="G13" s="92" t="str">
        <f>HYPERLINK("https://www.abcfinancial.net/resource-center/insurance/understanding-the-basics-of-medigap-policies","https://www.abcfinancial.net/resource-center/insurance/understanding-the-basics-of-medigap-policies")</f>
        <v>https://www.abcfinancial.net/resource-center/insurance/understanding-the-basics-of-medigap-policies</v>
      </c>
      <c r="H13" s="87">
        <v>4</v>
      </c>
      <c r="I13" s="87">
        <v>0.72</v>
      </c>
      <c r="J13" s="87">
        <v>6</v>
      </c>
      <c r="K13" s="93">
        <v>44222.124143518522</v>
      </c>
      <c r="M13" s="87" t="s">
        <v>577</v>
      </c>
    </row>
    <row r="14" spans="1:13" x14ac:dyDescent="0.2">
      <c r="A14" s="87">
        <v>13</v>
      </c>
      <c r="B14" s="87" t="s">
        <v>578</v>
      </c>
      <c r="C14" s="87">
        <v>13</v>
      </c>
      <c r="D14" s="87">
        <v>13</v>
      </c>
      <c r="E14" s="93"/>
      <c r="F14" s="87">
        <v>40</v>
      </c>
      <c r="G14" s="92" t="str">
        <f>HYPERLINK("https://www.abcfinancial.net/resource-center/investment","https://www.abcfinancial.net/resource-center/investment")</f>
        <v>https://www.abcfinancial.net/resource-center/investment</v>
      </c>
      <c r="H14" s="87">
        <v>21</v>
      </c>
      <c r="I14" s="87">
        <v>0.56000000000000005</v>
      </c>
      <c r="K14" s="93">
        <v>44224.056458333333</v>
      </c>
      <c r="M14" s="87" t="s">
        <v>579</v>
      </c>
    </row>
    <row r="15" spans="1:13" x14ac:dyDescent="0.2">
      <c r="A15" s="87">
        <v>14</v>
      </c>
      <c r="B15" s="87" t="s">
        <v>351</v>
      </c>
      <c r="C15" s="87">
        <v>11</v>
      </c>
      <c r="D15" s="87">
        <v>11</v>
      </c>
      <c r="F15" s="87">
        <v>30</v>
      </c>
      <c r="G15" s="92" t="str">
        <f>HYPERLINK("https://www.abcfinancial.net/resource-center/insurance/medicare-vs-medicaid","https://www.abcfinancial.net/resource-center/insurance/medicare-vs-medicaid")</f>
        <v>https://www.abcfinancial.net/resource-center/insurance/medicare-vs-medicaid</v>
      </c>
      <c r="H15" s="87">
        <v>9</v>
      </c>
      <c r="I15" s="87">
        <v>0.54</v>
      </c>
      <c r="K15" s="93">
        <v>44227.395694444444</v>
      </c>
      <c r="M15" s="87" t="s">
        <v>572</v>
      </c>
    </row>
    <row r="16" spans="1:13" x14ac:dyDescent="0.2">
      <c r="A16" s="87">
        <v>15</v>
      </c>
      <c r="B16" s="87" t="s">
        <v>528</v>
      </c>
      <c r="C16" s="87">
        <v>8</v>
      </c>
      <c r="D16" s="87">
        <v>8</v>
      </c>
      <c r="F16" s="87">
        <v>10</v>
      </c>
      <c r="G16" s="92" t="str">
        <f>HYPERLINK("https://www.abcfinancial.net/","https://www.abcfinancial.net/")</f>
        <v>https://www.abcfinancial.net/</v>
      </c>
      <c r="H16" s="87">
        <v>7</v>
      </c>
      <c r="I16" s="87">
        <v>0.44</v>
      </c>
      <c r="K16" s="93">
        <v>44245.814525462964</v>
      </c>
      <c r="M16" s="87" t="s">
        <v>572</v>
      </c>
    </row>
    <row r="17" spans="1:13" x14ac:dyDescent="0.2">
      <c r="A17" s="87">
        <v>16</v>
      </c>
      <c r="B17" s="87" t="s">
        <v>419</v>
      </c>
      <c r="C17" s="87">
        <v>9</v>
      </c>
      <c r="D17" s="87">
        <v>10</v>
      </c>
      <c r="E17" s="93">
        <v>44208.585451388892</v>
      </c>
      <c r="F17" s="87">
        <v>10</v>
      </c>
      <c r="G17" s="92" t="str">
        <f>HYPERLINK("https://www.abcfinancial.net/team/theresa-goff","https://www.abcfinancial.net/team/theresa-goff")</f>
        <v>https://www.abcfinancial.net/team/theresa-goff</v>
      </c>
      <c r="H17" s="87">
        <v>0</v>
      </c>
      <c r="I17" s="87">
        <v>0.39</v>
      </c>
      <c r="K17" s="93">
        <v>44234.747384259259</v>
      </c>
      <c r="M17" s="87" t="s">
        <v>580</v>
      </c>
    </row>
    <row r="18" spans="1:13" x14ac:dyDescent="0.2">
      <c r="A18" s="87">
        <v>17</v>
      </c>
      <c r="B18" s="87" t="s">
        <v>265</v>
      </c>
      <c r="C18" s="87">
        <v>16</v>
      </c>
      <c r="D18" s="87">
        <v>28</v>
      </c>
      <c r="E18" s="93">
        <v>44196.148009259261</v>
      </c>
      <c r="F18" s="87">
        <v>60</v>
      </c>
      <c r="G18" s="92" t="str">
        <f>HYPERLINK("https://www.abcfinancial.net/team/mike-rogers-1","https://www.abcfinancial.net/team/mike-rogers-1")</f>
        <v>https://www.abcfinancial.net/team/mike-rogers-1</v>
      </c>
      <c r="H18" s="87">
        <v>35</v>
      </c>
      <c r="I18" s="87">
        <v>0.38</v>
      </c>
      <c r="K18" s="93">
        <v>44223.426180555558</v>
      </c>
      <c r="M18" s="87" t="s">
        <v>571</v>
      </c>
    </row>
    <row r="19" spans="1:13" x14ac:dyDescent="0.2">
      <c r="A19" s="87">
        <v>18</v>
      </c>
      <c r="B19" s="87" t="s">
        <v>352</v>
      </c>
      <c r="C19" s="87">
        <v>3</v>
      </c>
      <c r="D19" s="87">
        <v>5</v>
      </c>
      <c r="E19" s="93">
        <v>44193.983113425929</v>
      </c>
      <c r="F19" s="87">
        <v>30</v>
      </c>
      <c r="G19" s="92" t="str">
        <f>HYPERLINK("https://www.abcfinancial.net/team/amy-lemke","https://www.abcfinancial.net/team/amy-lemke")</f>
        <v>https://www.abcfinancial.net/team/amy-lemke</v>
      </c>
      <c r="H19" s="87">
        <v>0</v>
      </c>
      <c r="I19" s="87">
        <v>0.36</v>
      </c>
      <c r="K19" s="93">
        <v>44221.408958333333</v>
      </c>
      <c r="L19" s="87" t="s">
        <v>570</v>
      </c>
      <c r="M19" s="87" t="s">
        <v>570</v>
      </c>
    </row>
    <row r="20" spans="1:13" x14ac:dyDescent="0.2">
      <c r="A20" s="87">
        <v>19</v>
      </c>
      <c r="B20" s="87" t="s">
        <v>221</v>
      </c>
      <c r="C20" s="87">
        <v>18</v>
      </c>
      <c r="D20" s="87">
        <v>7</v>
      </c>
      <c r="E20" s="93">
        <v>44177.779722222222</v>
      </c>
      <c r="F20" s="87">
        <v>80</v>
      </c>
      <c r="G20" s="92" t="str">
        <f>HYPERLINK("https://www.abcfinancial.net/team/john-vanderpoel","https://www.abcfinancial.net/team/john-vanderpoel")</f>
        <v>https://www.abcfinancial.net/team/john-vanderpoel</v>
      </c>
      <c r="H20" s="87">
        <v>2</v>
      </c>
      <c r="I20" s="87">
        <v>0.35</v>
      </c>
      <c r="K20" s="93">
        <v>44204.717187499999</v>
      </c>
      <c r="M20" s="87" t="s">
        <v>581</v>
      </c>
    </row>
    <row r="21" spans="1:13" x14ac:dyDescent="0.2">
      <c r="A21" s="87">
        <v>20</v>
      </c>
      <c r="B21" s="87" t="s">
        <v>124</v>
      </c>
      <c r="C21" s="87">
        <v>19</v>
      </c>
      <c r="D21" s="87">
        <v>19</v>
      </c>
      <c r="E21" s="93"/>
      <c r="F21" s="87">
        <v>200</v>
      </c>
      <c r="G21" s="92" t="str">
        <f>HYPERLINK("https://www.abcfinancial.net/resource-center/investment/earnings-for-all-seasons","https://www.abcfinancial.net/resource-center/investment/earnings-for-all-seasons")</f>
        <v>https://www.abcfinancial.net/resource-center/investment/earnings-for-all-seasons</v>
      </c>
      <c r="H21" s="87">
        <v>23</v>
      </c>
      <c r="I21" s="87">
        <v>0.35</v>
      </c>
      <c r="K21" s="93">
        <v>44245.819675925923</v>
      </c>
      <c r="M21" s="87" t="s">
        <v>582</v>
      </c>
    </row>
    <row r="22" spans="1:13" x14ac:dyDescent="0.2">
      <c r="A22" s="87">
        <v>21</v>
      </c>
      <c r="B22" s="87" t="s">
        <v>209</v>
      </c>
      <c r="C22" s="87">
        <v>20</v>
      </c>
      <c r="D22" s="87">
        <v>16</v>
      </c>
      <c r="E22" s="93">
        <v>44209.473657407405</v>
      </c>
      <c r="F22" s="87">
        <v>90</v>
      </c>
      <c r="G22" s="92" t="str">
        <f>HYPERLINK("https://www.abcfinancial.net/team/robert-withers-1","https://www.abcfinancial.net/team/robert-withers-1")</f>
        <v>https://www.abcfinancial.net/team/robert-withers-1</v>
      </c>
      <c r="H22" s="87">
        <v>0</v>
      </c>
      <c r="I22" s="87">
        <v>0.24</v>
      </c>
      <c r="J22" s="87">
        <v>0.15</v>
      </c>
      <c r="K22" s="93">
        <v>44236.701770833337</v>
      </c>
      <c r="M22" s="87" t="s">
        <v>583</v>
      </c>
    </row>
    <row r="23" spans="1:13" x14ac:dyDescent="0.2">
      <c r="A23" s="87">
        <v>22</v>
      </c>
      <c r="B23" s="87" t="s">
        <v>222</v>
      </c>
      <c r="C23" s="87">
        <v>22</v>
      </c>
      <c r="D23" s="87">
        <v>24</v>
      </c>
      <c r="E23" s="93">
        <v>44196.647719907407</v>
      </c>
      <c r="F23" s="87">
        <v>150</v>
      </c>
      <c r="G23" s="92" t="str">
        <f t="shared" ref="G23:G24" si="0">HYPERLINK("https://www.abcfinancial.net/p/client-community","https://www.abcfinancial.net/p/client-community")</f>
        <v>https://www.abcfinancial.net/p/client-community</v>
      </c>
      <c r="H23" s="87">
        <v>0</v>
      </c>
      <c r="I23" s="87">
        <v>0.21</v>
      </c>
      <c r="J23" s="87">
        <v>0.25</v>
      </c>
      <c r="K23" s="93">
        <v>44223.524398148147</v>
      </c>
      <c r="M23" s="87" t="s">
        <v>584</v>
      </c>
    </row>
    <row r="24" spans="1:13" x14ac:dyDescent="0.2">
      <c r="A24" s="87">
        <v>23</v>
      </c>
      <c r="B24" s="87" t="s">
        <v>294</v>
      </c>
      <c r="C24" s="87">
        <v>20</v>
      </c>
      <c r="D24" s="87">
        <v>20</v>
      </c>
      <c r="F24" s="87">
        <v>80</v>
      </c>
      <c r="G24" s="92" t="str">
        <f t="shared" si="0"/>
        <v>https://www.abcfinancial.net/p/client-community</v>
      </c>
      <c r="H24" s="87">
        <v>0</v>
      </c>
      <c r="I24" s="87">
        <v>0.21</v>
      </c>
      <c r="K24" s="93">
        <v>44237.83252314815</v>
      </c>
      <c r="M24" s="87" t="s">
        <v>585</v>
      </c>
    </row>
    <row r="25" spans="1:13" x14ac:dyDescent="0.2">
      <c r="A25" s="87">
        <v>24</v>
      </c>
      <c r="B25" s="87" t="s">
        <v>549</v>
      </c>
      <c r="C25" s="87">
        <v>12</v>
      </c>
      <c r="D25" s="87">
        <v>14</v>
      </c>
      <c r="E25" s="93">
        <v>44207.944155092591</v>
      </c>
      <c r="F25" s="87">
        <v>10</v>
      </c>
      <c r="G25" s="92" t="str">
        <f>HYPERLINK("https://www.abcfinancial.net/team/jeff-thompson-1","https://www.abcfinancial.net/team/jeff-thompson-1")</f>
        <v>https://www.abcfinancial.net/team/jeff-thompson-1</v>
      </c>
      <c r="H25" s="87">
        <v>0</v>
      </c>
      <c r="I25" s="87">
        <v>0.18</v>
      </c>
      <c r="J25" s="87">
        <v>10</v>
      </c>
      <c r="K25" s="93">
        <v>44233.930300925924</v>
      </c>
      <c r="M25" s="87" t="s">
        <v>572</v>
      </c>
    </row>
    <row r="26" spans="1:13" x14ac:dyDescent="0.2">
      <c r="A26" s="87">
        <v>25</v>
      </c>
      <c r="B26" s="87" t="s">
        <v>282</v>
      </c>
      <c r="C26" s="87">
        <v>22</v>
      </c>
      <c r="D26" s="87">
        <v>22</v>
      </c>
      <c r="E26" s="93"/>
      <c r="F26" s="87">
        <v>100</v>
      </c>
      <c r="G26" s="92" t="str">
        <f>HYPERLINK("http://www.abcfinancial.net/smart-401k-management/","http://www.abcfinancial.net/smart-401k-management/")</f>
        <v>http://www.abcfinancial.net/smart-401k-management/</v>
      </c>
      <c r="H26" s="87">
        <v>52</v>
      </c>
      <c r="I26" s="87">
        <v>0.18</v>
      </c>
      <c r="J26" s="87">
        <v>2</v>
      </c>
      <c r="K26" s="93">
        <v>44223.500057870369</v>
      </c>
      <c r="M26" s="87" t="s">
        <v>586</v>
      </c>
    </row>
    <row r="27" spans="1:13" x14ac:dyDescent="0.2">
      <c r="A27" s="87">
        <v>27</v>
      </c>
      <c r="B27" s="87" t="s">
        <v>203</v>
      </c>
      <c r="C27" s="87">
        <v>23</v>
      </c>
      <c r="D27" s="87">
        <v>23</v>
      </c>
      <c r="F27" s="87">
        <v>100</v>
      </c>
      <c r="G27" s="92" t="str">
        <f>HYPERLINK("https://www.abcfinancial.net/tools/tax-resources/tax-calendar","https://www.abcfinancial.net/tools/tax-resources/tax-calendar")</f>
        <v>https://www.abcfinancial.net/tools/tax-resources/tax-calendar</v>
      </c>
      <c r="H27" s="87">
        <v>24</v>
      </c>
      <c r="I27" s="87">
        <v>0.15</v>
      </c>
      <c r="J27" s="87">
        <v>0.04</v>
      </c>
      <c r="K27" s="93">
        <v>44230.095694444448</v>
      </c>
      <c r="M27" s="87" t="s">
        <v>579</v>
      </c>
    </row>
    <row r="28" spans="1:13" x14ac:dyDescent="0.2">
      <c r="A28" s="87">
        <v>30</v>
      </c>
      <c r="B28" s="87" t="s">
        <v>109</v>
      </c>
      <c r="C28" s="87">
        <v>29</v>
      </c>
      <c r="D28" s="87">
        <v>29</v>
      </c>
      <c r="F28" s="87">
        <v>450</v>
      </c>
      <c r="G28" s="92" t="str">
        <f>HYPERLINK("https://www.abcfinancial.net/blog/socially-responsible-investing","https://www.abcfinancial.net/blog/socially-responsible-investing")</f>
        <v>https://www.abcfinancial.net/blog/socially-responsible-investing</v>
      </c>
      <c r="H28" s="87">
        <v>61</v>
      </c>
      <c r="I28" s="87">
        <v>0.13</v>
      </c>
      <c r="J28" s="87">
        <v>9</v>
      </c>
      <c r="K28" s="93">
        <v>44245.888310185182</v>
      </c>
      <c r="M28" s="87" t="s">
        <v>587</v>
      </c>
    </row>
    <row r="29" spans="1:13" x14ac:dyDescent="0.2">
      <c r="A29" s="87">
        <v>32</v>
      </c>
      <c r="B29" s="87" t="s">
        <v>259</v>
      </c>
      <c r="C29" s="87">
        <v>21</v>
      </c>
      <c r="D29" s="87">
        <v>21</v>
      </c>
      <c r="E29" s="93"/>
      <c r="F29" s="87">
        <v>50</v>
      </c>
      <c r="G29" s="92" t="str">
        <f>HYPERLINK("https://www.abcfinancial.net/resource-center/lifestyle/should-you-choose-a-fixed-or-variable","https://www.abcfinancial.net/resource-center/lifestyle/should-you-choose-a-fixed-or-variable")</f>
        <v>https://www.abcfinancial.net/resource-center/lifestyle/should-you-choose-a-fixed-or-variable</v>
      </c>
      <c r="H29" s="87">
        <v>19</v>
      </c>
      <c r="I29" s="87">
        <v>0.13</v>
      </c>
      <c r="K29" s="93">
        <v>44231.989872685182</v>
      </c>
      <c r="M29" s="87" t="s">
        <v>588</v>
      </c>
    </row>
    <row r="30" spans="1:13" x14ac:dyDescent="0.2">
      <c r="A30" s="87">
        <v>33</v>
      </c>
      <c r="B30" s="87" t="s">
        <v>116</v>
      </c>
      <c r="C30" s="87">
        <v>23</v>
      </c>
      <c r="D30" s="87">
        <v>31</v>
      </c>
      <c r="E30" s="93">
        <v>44207.845185185186</v>
      </c>
      <c r="F30" s="87">
        <v>150</v>
      </c>
      <c r="G30" s="92" t="str">
        <f>HYPERLINK("https://www.abcfinancial.net/resource-center/lifestyle","https://www.abcfinancial.net/resource-center/lifestyle")</f>
        <v>https://www.abcfinancial.net/resource-center/lifestyle</v>
      </c>
      <c r="H30" s="87">
        <v>1</v>
      </c>
      <c r="I30" s="87">
        <v>0.1</v>
      </c>
      <c r="K30" s="93">
        <v>44233.879803240743</v>
      </c>
      <c r="M30" s="87" t="s">
        <v>571</v>
      </c>
    </row>
    <row r="31" spans="1:13" x14ac:dyDescent="0.2">
      <c r="A31" s="87">
        <v>34</v>
      </c>
      <c r="B31" s="87" t="s">
        <v>451</v>
      </c>
      <c r="C31" s="87">
        <v>18</v>
      </c>
      <c r="D31" s="87">
        <v>13</v>
      </c>
      <c r="E31" s="93">
        <v>44206.036192129628</v>
      </c>
      <c r="F31" s="87">
        <v>20</v>
      </c>
      <c r="G31" s="92" t="str">
        <f t="shared" ref="G31:G32" si="1">HYPERLINK("https://www.abcfinancial.net/team/jeff-thompson-1","https://www.abcfinancial.net/team/jeff-thompson-1")</f>
        <v>https://www.abcfinancial.net/team/jeff-thompson-1</v>
      </c>
      <c r="H31" s="87">
        <v>4</v>
      </c>
      <c r="I31" s="87">
        <v>0.09</v>
      </c>
      <c r="J31" s="87">
        <v>2</v>
      </c>
      <c r="K31" s="93">
        <v>44232.4065162037</v>
      </c>
    </row>
    <row r="32" spans="1:13" x14ac:dyDescent="0.2">
      <c r="A32" s="87">
        <v>35</v>
      </c>
      <c r="B32" s="87" t="s">
        <v>452</v>
      </c>
      <c r="C32" s="87">
        <v>18</v>
      </c>
      <c r="D32" s="87">
        <v>24</v>
      </c>
      <c r="E32" s="93">
        <v>44204.059155092589</v>
      </c>
      <c r="F32" s="87">
        <v>20</v>
      </c>
      <c r="G32" s="92" t="str">
        <f t="shared" si="1"/>
        <v>https://www.abcfinancial.net/team/jeff-thompson-1</v>
      </c>
      <c r="H32" s="87">
        <v>11</v>
      </c>
      <c r="I32" s="87">
        <v>0.08</v>
      </c>
      <c r="K32" s="93">
        <v>44230.960023148145</v>
      </c>
      <c r="M32" s="87" t="s">
        <v>572</v>
      </c>
    </row>
    <row r="33" spans="1:13" x14ac:dyDescent="0.2">
      <c r="A33" s="87">
        <v>36</v>
      </c>
      <c r="B33" s="87" t="s">
        <v>420</v>
      </c>
      <c r="C33" s="87">
        <v>21</v>
      </c>
      <c r="D33" s="87">
        <v>11</v>
      </c>
      <c r="E33" s="93">
        <v>44214.617291666669</v>
      </c>
      <c r="F33" s="87">
        <v>30</v>
      </c>
      <c r="G33" s="92" t="str">
        <f>HYPERLINK("https://www.abcfinancial.net/team/tom-whitnah-1","https://www.abcfinancial.net/team/tom-whitnah-1")</f>
        <v>https://www.abcfinancial.net/team/tom-whitnah-1</v>
      </c>
      <c r="H33" s="87">
        <v>0</v>
      </c>
      <c r="I33" s="87">
        <v>0.08</v>
      </c>
      <c r="K33" s="93">
        <v>44239.999039351853</v>
      </c>
      <c r="M33" s="87" t="s">
        <v>589</v>
      </c>
    </row>
    <row r="34" spans="1:13" x14ac:dyDescent="0.2">
      <c r="A34" s="87">
        <v>37</v>
      </c>
      <c r="B34" s="87" t="s">
        <v>204</v>
      </c>
      <c r="C34" s="87">
        <v>26</v>
      </c>
      <c r="D34" s="87">
        <v>30</v>
      </c>
      <c r="E34" s="93">
        <v>44212.752615740741</v>
      </c>
      <c r="F34" s="87">
        <v>100</v>
      </c>
      <c r="G34" s="92" t="str">
        <f>HYPERLINK("https://www.abcfinancial.net/","https://www.abcfinancial.net/")</f>
        <v>https://www.abcfinancial.net/</v>
      </c>
      <c r="H34" s="87">
        <v>3</v>
      </c>
      <c r="I34" s="87">
        <v>7.0000000000000007E-2</v>
      </c>
      <c r="J34" s="87">
        <v>17</v>
      </c>
      <c r="K34" s="93">
        <v>44238.944074074076</v>
      </c>
      <c r="M34" s="87" t="s">
        <v>590</v>
      </c>
    </row>
    <row r="35" spans="1:13" x14ac:dyDescent="0.2">
      <c r="A35" s="87">
        <v>38</v>
      </c>
      <c r="B35" s="87" t="s">
        <v>421</v>
      </c>
      <c r="C35" s="87">
        <v>21</v>
      </c>
      <c r="D35" s="87">
        <v>21</v>
      </c>
      <c r="F35" s="87">
        <v>30</v>
      </c>
      <c r="G35" s="92" t="str">
        <f>HYPERLINK("https://www.abcfinancial.net/resource-center/lifestyle/should-you-choose-a-fixed-or-variable","https://www.abcfinancial.net/resource-center/lifestyle/should-you-choose-a-fixed-or-variable")</f>
        <v>https://www.abcfinancial.net/resource-center/lifestyle/should-you-choose-a-fixed-or-variable</v>
      </c>
      <c r="H35" s="87">
        <v>14</v>
      </c>
      <c r="I35" s="87">
        <v>0.06</v>
      </c>
      <c r="K35" s="93">
        <v>44231.401666666665</v>
      </c>
    </row>
    <row r="36" spans="1:13" x14ac:dyDescent="0.2">
      <c r="A36" s="87">
        <v>39</v>
      </c>
      <c r="B36" s="87" t="s">
        <v>335</v>
      </c>
      <c r="C36" s="87">
        <v>22</v>
      </c>
      <c r="D36" s="87">
        <v>22</v>
      </c>
      <c r="F36" s="87">
        <v>30</v>
      </c>
      <c r="G36" s="92" t="str">
        <f>HYPERLINK("https://www.abcfinancial.net/resource-center/insurance/medicare-at-65","https://www.abcfinancial.net/resource-center/insurance/medicare-at-65")</f>
        <v>https://www.abcfinancial.net/resource-center/insurance/medicare-at-65</v>
      </c>
      <c r="H36" s="87">
        <v>4</v>
      </c>
      <c r="I36" s="87">
        <v>0.06</v>
      </c>
      <c r="J36" s="87">
        <v>8</v>
      </c>
      <c r="K36" s="93">
        <v>44223.07135416667</v>
      </c>
      <c r="M36" s="87" t="s">
        <v>572</v>
      </c>
    </row>
    <row r="37" spans="1:13" x14ac:dyDescent="0.2">
      <c r="A37" s="87">
        <v>40</v>
      </c>
      <c r="B37" s="87" t="s">
        <v>320</v>
      </c>
      <c r="C37" s="87">
        <v>26</v>
      </c>
      <c r="D37" s="87">
        <v>29</v>
      </c>
      <c r="E37" s="93">
        <v>44198.094537037039</v>
      </c>
      <c r="F37" s="87">
        <v>80</v>
      </c>
      <c r="G37" s="92" t="str">
        <f>HYPERLINK("https://www.abcfinancial.net/team/mike-rogers-1","https://www.abcfinancial.net/team/mike-rogers-1")</f>
        <v>https://www.abcfinancial.net/team/mike-rogers-1</v>
      </c>
      <c r="H37" s="87">
        <v>0</v>
      </c>
      <c r="I37" s="87">
        <v>0.06</v>
      </c>
      <c r="K37" s="93">
        <v>44224.147650462961</v>
      </c>
      <c r="M37" s="87" t="s">
        <v>585</v>
      </c>
    </row>
    <row r="38" spans="1:13" x14ac:dyDescent="0.2">
      <c r="A38" s="87">
        <v>41</v>
      </c>
      <c r="B38" s="87" t="s">
        <v>266</v>
      </c>
      <c r="C38" s="87">
        <v>25</v>
      </c>
      <c r="D38" s="87">
        <v>13</v>
      </c>
      <c r="E38" s="93">
        <v>44195.175659722219</v>
      </c>
      <c r="F38" s="87">
        <v>40</v>
      </c>
      <c r="G38" s="92" t="str">
        <f>HYPERLINK("https://www.abcfinancial.net/resource-center/investment","https://www.abcfinancial.net/resource-center/investment")</f>
        <v>https://www.abcfinancial.net/resource-center/investment</v>
      </c>
      <c r="H38" s="87">
        <v>41</v>
      </c>
      <c r="I38" s="87">
        <v>0.04</v>
      </c>
      <c r="K38" s="93">
        <v>44221.835162037038</v>
      </c>
    </row>
    <row r="39" spans="1:13" x14ac:dyDescent="0.2">
      <c r="A39" s="87">
        <v>42</v>
      </c>
      <c r="B39" s="87" t="s">
        <v>174</v>
      </c>
      <c r="C39" s="87">
        <v>30</v>
      </c>
      <c r="D39" s="87">
        <v>25</v>
      </c>
      <c r="E39" s="93">
        <v>44216.706886574073</v>
      </c>
      <c r="F39" s="87">
        <v>100</v>
      </c>
      <c r="G39" s="92" t="str">
        <f>HYPERLINK("https://www.abcfinancial.net/","https://www.abcfinancial.net/")</f>
        <v>https://www.abcfinancial.net/</v>
      </c>
      <c r="H39" s="87">
        <v>24</v>
      </c>
      <c r="I39" s="87">
        <v>0.04</v>
      </c>
      <c r="J39" s="87">
        <v>0.7</v>
      </c>
      <c r="K39" s="93">
        <v>44241.865335648145</v>
      </c>
      <c r="M39" s="87" t="s">
        <v>568</v>
      </c>
    </row>
    <row r="40" spans="1:13" x14ac:dyDescent="0.2">
      <c r="A40" s="87">
        <v>43</v>
      </c>
      <c r="B40" s="87" t="s">
        <v>386</v>
      </c>
      <c r="C40" s="87">
        <v>23</v>
      </c>
      <c r="D40" s="87">
        <v>24</v>
      </c>
      <c r="E40" s="93">
        <v>44208.47515046296</v>
      </c>
      <c r="F40" s="87">
        <v>20</v>
      </c>
      <c r="G40" s="92" t="str">
        <f>HYPERLINK("https://www.abcfinancial.net/team/kirsten-davidson","https://www.abcfinancial.net/team/kirsten-davidson")</f>
        <v>https://www.abcfinancial.net/team/kirsten-davidson</v>
      </c>
      <c r="H40" s="87">
        <v>0</v>
      </c>
      <c r="I40" s="87">
        <v>0.03</v>
      </c>
      <c r="J40" s="87">
        <v>0.03</v>
      </c>
      <c r="K40" s="93">
        <v>44234.824236111112</v>
      </c>
      <c r="M40" s="87" t="s">
        <v>570</v>
      </c>
    </row>
    <row r="41" spans="1:13" x14ac:dyDescent="0.2">
      <c r="A41" s="87">
        <v>44</v>
      </c>
      <c r="B41" s="87" t="s">
        <v>205</v>
      </c>
      <c r="C41" s="87">
        <v>24</v>
      </c>
      <c r="D41" s="87">
        <v>56</v>
      </c>
      <c r="E41" s="93">
        <v>44198.396898148145</v>
      </c>
      <c r="F41" s="87">
        <v>100</v>
      </c>
      <c r="G41" s="92" t="str">
        <f>HYPERLINK("https://www.abcfinancial.net/team/andrea-vieyra","https://www.abcfinancial.net/team/andrea-vieyra")</f>
        <v>https://www.abcfinancial.net/team/andrea-vieyra</v>
      </c>
      <c r="H41" s="87">
        <v>2</v>
      </c>
      <c r="I41" s="87">
        <v>0.03</v>
      </c>
      <c r="J41" s="87">
        <v>0.06</v>
      </c>
      <c r="K41" s="93">
        <v>44224.350115740737</v>
      </c>
      <c r="M41" s="87" t="s">
        <v>570</v>
      </c>
    </row>
    <row r="42" spans="1:13" x14ac:dyDescent="0.2">
      <c r="A42" s="87">
        <v>45</v>
      </c>
      <c r="B42" s="87" t="s">
        <v>306</v>
      </c>
      <c r="C42" s="87">
        <v>30</v>
      </c>
      <c r="D42" s="87">
        <v>30</v>
      </c>
      <c r="E42" s="93"/>
      <c r="F42" s="87">
        <v>70</v>
      </c>
      <c r="G42" s="92" t="str">
        <f>HYPERLINK("https://www.abcfinancial.net/resource-center/investment/can-election-results-predict-the-market","https://www.abcfinancial.net/resource-center/investment/can-election-results-predict-the-market")</f>
        <v>https://www.abcfinancial.net/resource-center/investment/can-election-results-predict-the-market</v>
      </c>
      <c r="H42" s="87">
        <v>78</v>
      </c>
      <c r="I42" s="87">
        <v>0.02</v>
      </c>
      <c r="J42" s="87">
        <v>3.5</v>
      </c>
      <c r="K42" s="93">
        <v>44221.982974537037</v>
      </c>
      <c r="M42" s="87" t="s">
        <v>591</v>
      </c>
    </row>
    <row r="43" spans="1:13" x14ac:dyDescent="0.2">
      <c r="A43" s="87">
        <v>46</v>
      </c>
      <c r="B43" s="87" t="s">
        <v>295</v>
      </c>
      <c r="C43" s="87">
        <v>27</v>
      </c>
      <c r="D43" s="87">
        <v>27</v>
      </c>
      <c r="F43" s="87">
        <v>30</v>
      </c>
      <c r="G43" s="92" t="str">
        <f>HYPERLINK("https://www.abcfinancial.net/team/mike-rogers","https://www.abcfinancial.net/team/mike-rogers")</f>
        <v>https://www.abcfinancial.net/team/mike-rogers</v>
      </c>
      <c r="H43" s="87">
        <v>7</v>
      </c>
      <c r="I43" s="87">
        <v>0.02</v>
      </c>
      <c r="K43" s="93">
        <v>44244.569699074076</v>
      </c>
      <c r="M43" s="87" t="s">
        <v>572</v>
      </c>
    </row>
    <row r="44" spans="1:13" x14ac:dyDescent="0.2">
      <c r="A44" s="87">
        <v>47</v>
      </c>
      <c r="B44" s="87" t="s">
        <v>277</v>
      </c>
      <c r="C44" s="87">
        <v>30</v>
      </c>
      <c r="D44" s="87">
        <v>30</v>
      </c>
      <c r="F44" s="87">
        <v>60</v>
      </c>
      <c r="G44" s="92" t="str">
        <f>HYPERLINK("https://www.abcfinancial.net/blog/when-will-the-recession-officially-start","https://www.abcfinancial.net/blog/when-will-the-recession-officially-start")</f>
        <v>https://www.abcfinancial.net/blog/when-will-the-recession-officially-start</v>
      </c>
      <c r="H44" s="87">
        <v>54</v>
      </c>
      <c r="I44" s="87">
        <v>0.02</v>
      </c>
      <c r="K44" s="93">
        <v>44221.948819444442</v>
      </c>
      <c r="M44" s="87" t="s">
        <v>588</v>
      </c>
    </row>
    <row r="45" spans="1:13" x14ac:dyDescent="0.2">
      <c r="A45" s="87">
        <v>48</v>
      </c>
      <c r="B45" s="87" t="s">
        <v>422</v>
      </c>
      <c r="C45" s="87">
        <v>27</v>
      </c>
      <c r="D45" s="87">
        <v>26</v>
      </c>
      <c r="E45" s="93">
        <v>44209.802777777775</v>
      </c>
      <c r="F45" s="87">
        <v>30</v>
      </c>
      <c r="G45" s="92" t="str">
        <f>HYPERLINK("https://www.abcfinancial.net/team/mike-rogers-1","https://www.abcfinancial.net/team/mike-rogers-1")</f>
        <v>https://www.abcfinancial.net/team/mike-rogers-1</v>
      </c>
      <c r="H45" s="87">
        <v>0</v>
      </c>
      <c r="I45" s="87">
        <v>0.01</v>
      </c>
      <c r="K45" s="93">
        <v>44236.859525462962</v>
      </c>
      <c r="M45" s="87" t="s">
        <v>570</v>
      </c>
    </row>
    <row r="46" spans="1:13" x14ac:dyDescent="0.2">
      <c r="A46" s="87">
        <v>49</v>
      </c>
      <c r="B46" s="87" t="s">
        <v>321</v>
      </c>
      <c r="C46" s="87">
        <v>32</v>
      </c>
      <c r="D46" s="87">
        <v>32</v>
      </c>
      <c r="F46" s="87">
        <v>70</v>
      </c>
      <c r="G46" s="92" t="str">
        <f>HYPERLINK("https://www.abcfinancial.net/resource-center/money/life-and-death-of-a-20-dollar-bill","https://www.abcfinancial.net/resource-center/money/life-and-death-of-a-20-dollar-bill")</f>
        <v>https://www.abcfinancial.net/resource-center/money/life-and-death-of-a-20-dollar-bill</v>
      </c>
      <c r="H46" s="87">
        <v>2</v>
      </c>
      <c r="I46" s="87">
        <v>0.01</v>
      </c>
      <c r="K46" s="93">
        <v>44246.827430555553</v>
      </c>
      <c r="M46" s="87" t="s">
        <v>588</v>
      </c>
    </row>
    <row r="47" spans="1:13" x14ac:dyDescent="0.2">
      <c r="A47" s="87">
        <v>50</v>
      </c>
      <c r="B47" s="87" t="s">
        <v>453</v>
      </c>
      <c r="C47" s="87">
        <v>24</v>
      </c>
      <c r="D47" s="87">
        <v>15</v>
      </c>
      <c r="E47" s="93">
        <v>44210.706909722219</v>
      </c>
      <c r="F47" s="87">
        <v>10</v>
      </c>
      <c r="G47" s="92" t="str">
        <f>HYPERLINK("https://www.abcfinancial.net/tax-planning-strategies","https://www.abcfinancial.net/tax-planning-strategies")</f>
        <v>https://www.abcfinancial.net/tax-planning-strategies</v>
      </c>
      <c r="H47" s="87">
        <v>1</v>
      </c>
      <c r="I47" s="87">
        <v>0.01</v>
      </c>
      <c r="K47" s="93">
        <v>44237.471805555557</v>
      </c>
      <c r="M47" s="87" t="s">
        <v>592</v>
      </c>
    </row>
    <row r="48" spans="1:13" x14ac:dyDescent="0.2">
      <c r="A48" s="87">
        <v>51</v>
      </c>
      <c r="B48" s="87" t="s">
        <v>238</v>
      </c>
      <c r="C48" s="87">
        <v>36</v>
      </c>
      <c r="D48" s="87">
        <v>42</v>
      </c>
      <c r="E48" s="93">
        <v>44198.320868055554</v>
      </c>
      <c r="F48" s="87">
        <v>150</v>
      </c>
      <c r="G48" s="92" t="str">
        <f>HYPERLINK("https://www.abcfinancial.net/","https://www.abcfinancial.net/")</f>
        <v>https://www.abcfinancial.net/</v>
      </c>
      <c r="H48" s="87">
        <v>11</v>
      </c>
      <c r="I48" s="87">
        <v>0.01</v>
      </c>
      <c r="K48" s="93">
        <v>44224.310312499998</v>
      </c>
      <c r="M48" s="87" t="s">
        <v>572</v>
      </c>
    </row>
    <row r="49" spans="1:13" x14ac:dyDescent="0.2">
      <c r="A49" s="87">
        <v>52</v>
      </c>
      <c r="B49" s="87" t="s">
        <v>336</v>
      </c>
      <c r="C49" s="87">
        <v>28</v>
      </c>
      <c r="D49" s="87">
        <v>22</v>
      </c>
      <c r="E49" s="93">
        <v>44219.175798611112</v>
      </c>
      <c r="F49" s="87">
        <v>30</v>
      </c>
      <c r="G49" s="92" t="str">
        <f>HYPERLINK("https://www.abcfinancial.net/resource-center/money","https://www.abcfinancial.net/resource-center/money")</f>
        <v>https://www.abcfinancial.net/resource-center/money</v>
      </c>
      <c r="H49" s="87">
        <v>68</v>
      </c>
      <c r="I49" s="87">
        <v>0.01</v>
      </c>
      <c r="K49" s="93">
        <v>44247.067280092589</v>
      </c>
      <c r="M49" s="87" t="s">
        <v>593</v>
      </c>
    </row>
    <row r="50" spans="1:13" x14ac:dyDescent="0.2">
      <c r="A50" s="87">
        <v>53</v>
      </c>
      <c r="B50" s="87" t="s">
        <v>141</v>
      </c>
      <c r="C50" s="87">
        <v>35</v>
      </c>
      <c r="D50" s="87">
        <v>48</v>
      </c>
      <c r="E50" s="93">
        <v>44214.029398148145</v>
      </c>
      <c r="F50" s="87">
        <v>150</v>
      </c>
      <c r="G50" s="92" t="str">
        <f t="shared" ref="G50:G51" si="2">HYPERLINK("https://www.abcfinancial.net/resource-center/insurance/how-does-whole-life-insurance-work","https://www.abcfinancial.net/resource-center/insurance/how-does-whole-life-insurance-work")</f>
        <v>https://www.abcfinancial.net/resource-center/insurance/how-does-whole-life-insurance-work</v>
      </c>
      <c r="H50" s="87">
        <v>50</v>
      </c>
      <c r="I50" s="87">
        <v>0.01</v>
      </c>
      <c r="J50" s="87">
        <v>0.1</v>
      </c>
      <c r="K50" s="93">
        <v>44240.088761574072</v>
      </c>
      <c r="M50" s="87" t="s">
        <v>594</v>
      </c>
    </row>
    <row r="51" spans="1:13" x14ac:dyDescent="0.2">
      <c r="A51" s="87">
        <v>54</v>
      </c>
      <c r="B51" s="87" t="s">
        <v>239</v>
      </c>
      <c r="C51" s="87">
        <v>32</v>
      </c>
      <c r="D51" s="87">
        <v>31</v>
      </c>
      <c r="E51" s="93">
        <v>44208.840081018519</v>
      </c>
      <c r="F51" s="87">
        <v>50</v>
      </c>
      <c r="G51" s="92" t="str">
        <f t="shared" si="2"/>
        <v>https://www.abcfinancial.net/resource-center/insurance/how-does-whole-life-insurance-work</v>
      </c>
      <c r="H51" s="87">
        <v>4</v>
      </c>
      <c r="I51" s="87">
        <v>0.01</v>
      </c>
      <c r="J51" s="87">
        <v>0.35</v>
      </c>
      <c r="K51" s="93">
        <v>44235.071597222224</v>
      </c>
      <c r="M51" s="87" t="s">
        <v>595</v>
      </c>
    </row>
    <row r="52" spans="1:13" x14ac:dyDescent="0.2">
      <c r="A52" s="87">
        <v>55</v>
      </c>
      <c r="B52" s="87" t="s">
        <v>127</v>
      </c>
      <c r="C52" s="87">
        <v>26</v>
      </c>
      <c r="D52" s="87">
        <v>28</v>
      </c>
      <c r="E52" s="93">
        <v>44036.32949074074</v>
      </c>
      <c r="F52" s="87">
        <v>10</v>
      </c>
      <c r="G52" s="92" t="str">
        <f>HYPERLINK("https://www.abcfinancial.net/resource-center/estate","https://www.abcfinancial.net/resource-center/estate")</f>
        <v>https://www.abcfinancial.net/resource-center/estate</v>
      </c>
      <c r="H52" s="87">
        <v>1</v>
      </c>
      <c r="I52" s="87">
        <v>0.01</v>
      </c>
      <c r="K52" s="93">
        <v>44062.921331018515</v>
      </c>
      <c r="M52" s="87" t="s">
        <v>596</v>
      </c>
    </row>
    <row r="53" spans="1:13" x14ac:dyDescent="0.2">
      <c r="A53" s="87">
        <v>57</v>
      </c>
      <c r="B53" s="87" t="s">
        <v>91</v>
      </c>
      <c r="C53" s="87">
        <v>30</v>
      </c>
      <c r="D53" s="87">
        <v>30</v>
      </c>
      <c r="E53" s="93"/>
      <c r="F53" s="87">
        <v>30</v>
      </c>
      <c r="G53" s="92" t="str">
        <f>HYPERLINK("https://www.abcfinancial.net/resource-center/money/a-penny-saved-is-two-pennies-earned","https://www.abcfinancial.net/resource-center/money/a-penny-saved-is-two-pennies-earned")</f>
        <v>https://www.abcfinancial.net/resource-center/money/a-penny-saved-is-two-pennies-earned</v>
      </c>
      <c r="H53" s="87">
        <v>2</v>
      </c>
      <c r="I53" s="87">
        <v>0.01</v>
      </c>
      <c r="K53" s="93">
        <v>44248.537291666667</v>
      </c>
      <c r="M53" s="87" t="s">
        <v>597</v>
      </c>
    </row>
    <row r="54" spans="1:13" x14ac:dyDescent="0.2">
      <c r="A54" s="87">
        <v>58</v>
      </c>
      <c r="B54" s="87" t="s">
        <v>167</v>
      </c>
      <c r="C54" s="87">
        <v>32</v>
      </c>
      <c r="D54" s="87">
        <v>70</v>
      </c>
      <c r="E54" s="93">
        <v>44204.330972222226</v>
      </c>
      <c r="F54" s="87">
        <v>150</v>
      </c>
      <c r="G54" s="92" t="str">
        <f>HYPERLINK("https://www.abcfinancial.net/","https://www.abcfinancial.net/")</f>
        <v>https://www.abcfinancial.net/</v>
      </c>
      <c r="H54" s="87">
        <v>1</v>
      </c>
      <c r="I54" s="87">
        <v>0.01</v>
      </c>
      <c r="K54" s="93">
        <v>44230.95722222222</v>
      </c>
      <c r="M54" s="87" t="s">
        <v>570</v>
      </c>
    </row>
    <row r="55" spans="1:13" x14ac:dyDescent="0.2">
      <c r="A55" s="87">
        <v>59</v>
      </c>
      <c r="B55" s="87" t="s">
        <v>158</v>
      </c>
      <c r="C55" s="87">
        <v>27</v>
      </c>
      <c r="D55" s="87">
        <v>19</v>
      </c>
      <c r="E55" s="93">
        <v>44210.292951388888</v>
      </c>
      <c r="F55" s="87">
        <v>20</v>
      </c>
      <c r="G55" s="92" t="str">
        <f>HYPERLINK("https://www.abcfinancial.net/resource-center/lifestyle/should-you-choose-a-fixed-or-variable","https://www.abcfinancial.net/resource-center/lifestyle/should-you-choose-a-fixed-or-variable")</f>
        <v>https://www.abcfinancial.net/resource-center/lifestyle/should-you-choose-a-fixed-or-variable</v>
      </c>
      <c r="H55" s="87">
        <v>18</v>
      </c>
      <c r="I55" s="87">
        <v>0.01</v>
      </c>
      <c r="J55" s="87">
        <v>9</v>
      </c>
      <c r="K55" s="93">
        <v>44237.281307870369</v>
      </c>
      <c r="M55" s="87" t="s">
        <v>568</v>
      </c>
    </row>
    <row r="56" spans="1:13" x14ac:dyDescent="0.2">
      <c r="A56" s="87">
        <v>60</v>
      </c>
      <c r="B56" s="87" t="s">
        <v>550</v>
      </c>
      <c r="C56" s="87">
        <v>28</v>
      </c>
      <c r="D56" s="87">
        <v>27</v>
      </c>
      <c r="E56" s="93">
        <v>44210.229930555557</v>
      </c>
      <c r="F56" s="87">
        <v>10</v>
      </c>
      <c r="G56" s="92" t="str">
        <f>HYPERLINK("https://www.abcfinancial.net/team/mike-rogers-1","https://www.abcfinancial.net/team/mike-rogers-1")</f>
        <v>https://www.abcfinancial.net/team/mike-rogers-1</v>
      </c>
      <c r="H56" s="87">
        <v>0</v>
      </c>
      <c r="I56" s="87">
        <v>0.01</v>
      </c>
      <c r="K56" s="93">
        <v>44236.943530092591</v>
      </c>
      <c r="M56" s="87" t="s">
        <v>598</v>
      </c>
    </row>
    <row r="57" spans="1:13" x14ac:dyDescent="0.2">
      <c r="A57" s="87">
        <v>61</v>
      </c>
      <c r="B57" s="87" t="s">
        <v>353</v>
      </c>
      <c r="C57" s="87">
        <v>33</v>
      </c>
      <c r="D57" s="87">
        <v>33</v>
      </c>
      <c r="F57" s="87">
        <v>50</v>
      </c>
      <c r="G57" s="92" t="str">
        <f>HYPERLINK("https://www.abcfinancial.net/resource-center/insurance/assess-your-life-insurance-needs","https://www.abcfinancial.net/resource-center/insurance/assess-your-life-insurance-needs")</f>
        <v>https://www.abcfinancial.net/resource-center/insurance/assess-your-life-insurance-needs</v>
      </c>
      <c r="H57" s="87">
        <v>5</v>
      </c>
      <c r="I57" s="87">
        <v>0.01</v>
      </c>
      <c r="K57" s="93">
        <v>44233.008842592593</v>
      </c>
      <c r="M57" s="87" t="s">
        <v>568</v>
      </c>
    </row>
    <row r="58" spans="1:13" x14ac:dyDescent="0.2">
      <c r="A58" s="87">
        <v>62</v>
      </c>
      <c r="B58" s="87" t="s">
        <v>206</v>
      </c>
      <c r="C58" s="87">
        <v>39</v>
      </c>
      <c r="D58" s="87">
        <v>39</v>
      </c>
      <c r="E58" s="93"/>
      <c r="F58" s="87">
        <v>100</v>
      </c>
      <c r="G58" s="92" t="str">
        <f>HYPERLINK("https://www.abcfinancial.net/tools/tax-resources/tax-calendar","https://www.abcfinancial.net/tools/tax-resources/tax-calendar")</f>
        <v>https://www.abcfinancial.net/tools/tax-resources/tax-calendar</v>
      </c>
      <c r="H58" s="87">
        <v>26</v>
      </c>
      <c r="I58" s="87">
        <v>0</v>
      </c>
      <c r="K58" s="93">
        <v>44225.249421296299</v>
      </c>
      <c r="M58" s="87" t="s">
        <v>599</v>
      </c>
    </row>
    <row r="59" spans="1:13" x14ac:dyDescent="0.2">
      <c r="A59" s="87">
        <v>63</v>
      </c>
      <c r="B59" s="87" t="s">
        <v>454</v>
      </c>
      <c r="C59" s="87">
        <v>32</v>
      </c>
      <c r="D59" s="87">
        <v>75</v>
      </c>
      <c r="E59" s="93">
        <v>44220.715104166666</v>
      </c>
      <c r="F59" s="87">
        <v>20</v>
      </c>
      <c r="G59" s="92" t="str">
        <f>HYPERLINK("https://www.abcfinancial.net/resource-center/money/life-and-death-of-a-20-dollar-bill","https://www.abcfinancial.net/resource-center/money/life-and-death-of-a-20-dollar-bill")</f>
        <v>https://www.abcfinancial.net/resource-center/money/life-and-death-of-a-20-dollar-bill</v>
      </c>
      <c r="H59" s="87">
        <v>6</v>
      </c>
      <c r="I59" s="87">
        <v>0</v>
      </c>
      <c r="K59" s="93">
        <v>44248.36478009259</v>
      </c>
      <c r="M59" s="87" t="s">
        <v>600</v>
      </c>
    </row>
    <row r="60" spans="1:13" x14ac:dyDescent="0.2">
      <c r="A60" s="87">
        <v>64</v>
      </c>
      <c r="B60" s="87" t="s">
        <v>337</v>
      </c>
      <c r="C60" s="87">
        <v>37</v>
      </c>
      <c r="D60" s="87">
        <v>37</v>
      </c>
      <c r="F60" s="87">
        <v>50</v>
      </c>
      <c r="G60" s="92" t="str">
        <f>HYPERLINK("https://www.abcfinancial.net/blog","https://www.abcfinancial.net/blog")</f>
        <v>https://www.abcfinancial.net/blog</v>
      </c>
      <c r="H60" s="87">
        <v>39</v>
      </c>
      <c r="I60" s="87">
        <v>0</v>
      </c>
      <c r="K60" s="93">
        <v>44231.223333333335</v>
      </c>
      <c r="M60" s="87" t="s">
        <v>601</v>
      </c>
    </row>
    <row r="61" spans="1:13" x14ac:dyDescent="0.2">
      <c r="A61" s="87">
        <v>65</v>
      </c>
      <c r="B61" s="87" t="s">
        <v>322</v>
      </c>
      <c r="C61" s="87">
        <v>36</v>
      </c>
      <c r="D61" s="87">
        <v>40</v>
      </c>
      <c r="E61" s="93">
        <v>44205.573101851849</v>
      </c>
      <c r="F61" s="87">
        <v>40</v>
      </c>
      <c r="G61" s="92" t="str">
        <f>HYPERLINK("https://www.abcfinancial.net/resource-center/lifestyle/a-house-divided","https://www.abcfinancial.net/resource-center/lifestyle/a-house-divided")</f>
        <v>https://www.abcfinancial.net/resource-center/lifestyle/a-house-divided</v>
      </c>
      <c r="H61" s="87">
        <v>0</v>
      </c>
      <c r="I61" s="87">
        <v>0</v>
      </c>
      <c r="K61" s="93">
        <v>44231.95921296296</v>
      </c>
      <c r="M61" s="87" t="s">
        <v>602</v>
      </c>
    </row>
    <row r="62" spans="1:13" x14ac:dyDescent="0.2">
      <c r="A62" s="87">
        <v>66</v>
      </c>
      <c r="B62" s="87" t="s">
        <v>226</v>
      </c>
      <c r="C62" s="87">
        <v>40</v>
      </c>
      <c r="D62" s="87">
        <v>35</v>
      </c>
      <c r="E62" s="93">
        <v>44212.778171296297</v>
      </c>
      <c r="F62" s="87">
        <v>90</v>
      </c>
      <c r="G62" s="92" t="str">
        <f>HYPERLINK("https://www.abcfinancial.net/blog/when-will-the-recession-officially-start","https://www.abcfinancial.net/blog/when-will-the-recession-officially-start")</f>
        <v>https://www.abcfinancial.net/blog/when-will-the-recession-officially-start</v>
      </c>
      <c r="H62" s="87">
        <v>0</v>
      </c>
      <c r="I62" s="87">
        <v>0</v>
      </c>
      <c r="K62" s="93">
        <v>44238.734490740739</v>
      </c>
      <c r="M62" s="87" t="s">
        <v>592</v>
      </c>
    </row>
    <row r="63" spans="1:13" x14ac:dyDescent="0.2">
      <c r="A63" s="87">
        <v>67</v>
      </c>
      <c r="B63" s="87" t="s">
        <v>354</v>
      </c>
      <c r="C63" s="87">
        <v>33</v>
      </c>
      <c r="D63" s="87">
        <v>33</v>
      </c>
      <c r="F63" s="87">
        <v>20</v>
      </c>
      <c r="G63" s="92" t="str">
        <f>HYPERLINK("https://www.abcfinancial.net/tax-planning-strategies","https://www.abcfinancial.net/tax-planning-strategies")</f>
        <v>https://www.abcfinancial.net/tax-planning-strategies</v>
      </c>
      <c r="H63" s="87">
        <v>24</v>
      </c>
      <c r="I63" s="87">
        <v>0</v>
      </c>
      <c r="J63" s="87">
        <v>7</v>
      </c>
      <c r="K63" s="93">
        <v>44248.338078703702</v>
      </c>
      <c r="M63" s="87" t="s">
        <v>603</v>
      </c>
    </row>
    <row r="64" spans="1:13" x14ac:dyDescent="0.2">
      <c r="A64" s="87">
        <v>68</v>
      </c>
      <c r="B64" s="87" t="s">
        <v>387</v>
      </c>
      <c r="C64" s="87">
        <v>34</v>
      </c>
      <c r="D64" s="87">
        <v>38</v>
      </c>
      <c r="E64" s="93">
        <v>44201.40724537037</v>
      </c>
      <c r="F64" s="87">
        <v>20</v>
      </c>
      <c r="G64" s="92" t="str">
        <f>HYPERLINK("https://www.abcfinancial.net/team/theresa-goff","https://www.abcfinancial.net/team/theresa-goff")</f>
        <v>https://www.abcfinancial.net/team/theresa-goff</v>
      </c>
      <c r="H64" s="87">
        <v>0</v>
      </c>
      <c r="I64" s="87">
        <v>0</v>
      </c>
      <c r="K64" s="93">
        <v>44228.610347222224</v>
      </c>
      <c r="M64" s="87" t="s">
        <v>570</v>
      </c>
    </row>
    <row r="65" spans="1:13" x14ac:dyDescent="0.2">
      <c r="A65" s="87">
        <v>69</v>
      </c>
      <c r="B65" s="87" t="s">
        <v>355</v>
      </c>
      <c r="C65" s="87">
        <v>39</v>
      </c>
      <c r="D65" s="87">
        <v>39</v>
      </c>
      <c r="E65" s="93"/>
      <c r="F65" s="87">
        <v>50</v>
      </c>
      <c r="G65" s="92" t="str">
        <f>HYPERLINK("https://www.abcfinancial.net/blog/ira-vs-401k-what-savers-should-know","https://www.abcfinancial.net/blog/ira-vs-401k-what-savers-should-know")</f>
        <v>https://www.abcfinancial.net/blog/ira-vs-401k-what-savers-should-know</v>
      </c>
      <c r="H65" s="87">
        <v>0</v>
      </c>
      <c r="I65" s="87">
        <v>0</v>
      </c>
      <c r="J65" s="87">
        <v>1.4</v>
      </c>
      <c r="K65" s="93">
        <v>44245.965254629627</v>
      </c>
      <c r="M65" s="87" t="s">
        <v>604</v>
      </c>
    </row>
    <row r="66" spans="1:13" x14ac:dyDescent="0.2">
      <c r="A66" s="87">
        <v>70</v>
      </c>
      <c r="B66" s="87" t="s">
        <v>388</v>
      </c>
      <c r="C66" s="87">
        <v>37</v>
      </c>
      <c r="D66" s="87">
        <v>45</v>
      </c>
      <c r="E66" s="93">
        <v>44217.01363425926</v>
      </c>
      <c r="F66" s="87">
        <v>30</v>
      </c>
      <c r="G66" s="92" t="str">
        <f>HYPERLINK("http://www.abcfinancial.net/resource-center/lifestyle/what-to-do-when-you-lose-your-wallet","http://www.abcfinancial.net/resource-center/lifestyle/what-to-do-when-you-lose-your-wallet")</f>
        <v>http://www.abcfinancial.net/resource-center/lifestyle/what-to-do-when-you-lose-your-wallet</v>
      </c>
      <c r="H66" s="87">
        <v>1</v>
      </c>
      <c r="I66" s="87">
        <v>0</v>
      </c>
      <c r="K66" s="93">
        <v>44245.726597222223</v>
      </c>
      <c r="M66" s="87" t="s">
        <v>568</v>
      </c>
    </row>
    <row r="67" spans="1:13" x14ac:dyDescent="0.2">
      <c r="A67" s="87">
        <v>71</v>
      </c>
      <c r="B67" s="87" t="s">
        <v>78</v>
      </c>
      <c r="C67" s="87">
        <v>58</v>
      </c>
      <c r="D67" s="87">
        <v>71</v>
      </c>
      <c r="E67" s="93">
        <v>44246.880706018521</v>
      </c>
      <c r="F67" s="87">
        <v>3500</v>
      </c>
      <c r="G67" s="92" t="str">
        <f>HYPERLINK("https://www.abcfinancial.net/resource-center/tax/how-income-taxes-work","https://www.abcfinancial.net/resource-center/tax/how-income-taxes-work")</f>
        <v>https://www.abcfinancial.net/resource-center/tax/how-income-taxes-work</v>
      </c>
      <c r="H67" s="87">
        <v>42</v>
      </c>
      <c r="I67" s="87">
        <v>0</v>
      </c>
      <c r="J67" s="87">
        <v>7</v>
      </c>
      <c r="K67" s="93">
        <v>44248.14371527778</v>
      </c>
      <c r="M67" s="87" t="s">
        <v>605</v>
      </c>
    </row>
    <row r="68" spans="1:13" x14ac:dyDescent="0.2">
      <c r="A68" s="87">
        <v>72</v>
      </c>
      <c r="B68" s="87" t="s">
        <v>134</v>
      </c>
      <c r="C68" s="87">
        <v>47</v>
      </c>
      <c r="D68" s="87">
        <v>47</v>
      </c>
      <c r="E68" s="93"/>
      <c r="F68" s="87">
        <v>250</v>
      </c>
      <c r="G68" s="92" t="str">
        <f>HYPERLINK("https://www.abcfinancial.net/resource-center/money/what-to-look-for-in-personal-finance-apps","https://www.abcfinancial.net/resource-center/money/what-to-look-for-in-personal-finance-apps")</f>
        <v>https://www.abcfinancial.net/resource-center/money/what-to-look-for-in-personal-finance-apps</v>
      </c>
      <c r="H68" s="87">
        <v>22</v>
      </c>
      <c r="I68" s="87">
        <v>0</v>
      </c>
      <c r="K68" s="93">
        <v>44246.539340277777</v>
      </c>
      <c r="M68" s="87" t="s">
        <v>606</v>
      </c>
    </row>
    <row r="69" spans="1:13" x14ac:dyDescent="0.2">
      <c r="A69" s="87">
        <v>73</v>
      </c>
      <c r="B69" s="87" t="s">
        <v>80</v>
      </c>
      <c r="C69" s="87">
        <v>49</v>
      </c>
      <c r="D69" s="87">
        <v>58</v>
      </c>
      <c r="E69" s="93">
        <v>44232.535069444442</v>
      </c>
      <c r="F69" s="87">
        <v>500</v>
      </c>
      <c r="G69" s="92" t="str">
        <f>HYPERLINK("https://www.abcfinancial.net/resource-center/tax/how-income-taxes-work","https://www.abcfinancial.net/resource-center/tax/how-income-taxes-work")</f>
        <v>https://www.abcfinancial.net/resource-center/tax/how-income-taxes-work</v>
      </c>
      <c r="H69" s="87">
        <v>45</v>
      </c>
      <c r="I69" s="87">
        <v>0</v>
      </c>
      <c r="K69" s="93">
        <v>44239.769988425927</v>
      </c>
      <c r="M69" s="87" t="s">
        <v>607</v>
      </c>
    </row>
    <row r="70" spans="1:13" x14ac:dyDescent="0.2">
      <c r="A70" s="87">
        <v>74</v>
      </c>
      <c r="B70" s="87" t="s">
        <v>188</v>
      </c>
      <c r="C70" s="87">
        <v>41</v>
      </c>
      <c r="D70" s="87">
        <v>40</v>
      </c>
      <c r="E70" s="93">
        <v>44218.027245370373</v>
      </c>
      <c r="F70" s="87">
        <v>50</v>
      </c>
      <c r="G70" s="92" t="str">
        <f>HYPERLINK("https://www.abcfinancial.net/blog/teaching-money-mindfulness-to-your-children","https://www.abcfinancial.net/blog/teaching-money-mindfulness-to-your-children")</f>
        <v>https://www.abcfinancial.net/blog/teaching-money-mindfulness-to-your-children</v>
      </c>
      <c r="H70" s="87">
        <v>4</v>
      </c>
      <c r="I70" s="87">
        <v>0</v>
      </c>
      <c r="K70" s="93">
        <v>44246.109212962961</v>
      </c>
      <c r="M70" s="87" t="s">
        <v>571</v>
      </c>
    </row>
    <row r="71" spans="1:13" x14ac:dyDescent="0.2">
      <c r="A71" s="87">
        <v>75</v>
      </c>
      <c r="B71" s="87" t="s">
        <v>356</v>
      </c>
      <c r="C71" s="87">
        <v>39</v>
      </c>
      <c r="D71" s="87">
        <v>43</v>
      </c>
      <c r="E71" s="93">
        <v>44205.355208333334</v>
      </c>
      <c r="F71" s="87">
        <v>30</v>
      </c>
      <c r="G71" s="92" t="str">
        <f>HYPERLINK("https://www.abcfinancial.net/team/robert-withers-1","https://www.abcfinancial.net/team/robert-withers-1")</f>
        <v>https://www.abcfinancial.net/team/robert-withers-1</v>
      </c>
      <c r="H71" s="87">
        <v>0</v>
      </c>
      <c r="I71" s="87">
        <v>0</v>
      </c>
      <c r="J71" s="87">
        <v>2</v>
      </c>
      <c r="K71" s="93">
        <v>44231.484548611108</v>
      </c>
      <c r="M71" s="87" t="s">
        <v>601</v>
      </c>
    </row>
    <row r="72" spans="1:13" x14ac:dyDescent="0.2">
      <c r="A72" s="87">
        <v>76</v>
      </c>
      <c r="B72" s="87" t="s">
        <v>180</v>
      </c>
      <c r="C72" s="87">
        <v>44</v>
      </c>
      <c r="D72" s="87">
        <v>31</v>
      </c>
      <c r="E72" s="93">
        <v>44208.810416666667</v>
      </c>
      <c r="F72" s="87">
        <v>150</v>
      </c>
      <c r="G72" s="92" t="str">
        <f>HYPERLINK("https://www.abcfinancial.net/resource-center/insurance","https://www.abcfinancial.net/resource-center/insurance")</f>
        <v>https://www.abcfinancial.net/resource-center/insurance</v>
      </c>
      <c r="H72" s="87">
        <v>24</v>
      </c>
      <c r="I72" s="87">
        <v>0</v>
      </c>
      <c r="J72" s="87">
        <v>10</v>
      </c>
      <c r="K72" s="93">
        <v>44234.188900462963</v>
      </c>
      <c r="M72" s="87" t="s">
        <v>572</v>
      </c>
    </row>
    <row r="73" spans="1:13" x14ac:dyDescent="0.2">
      <c r="A73" s="87">
        <v>77</v>
      </c>
      <c r="B73" s="87" t="s">
        <v>76</v>
      </c>
      <c r="C73" s="87">
        <v>61</v>
      </c>
      <c r="D73" s="87">
        <v>65</v>
      </c>
      <c r="E73" s="93">
        <v>44246.75</v>
      </c>
      <c r="F73" s="87">
        <v>4400</v>
      </c>
      <c r="G73" s="92" t="str">
        <f>HYPERLINK("https://www.abcfinancial.net/blog/socially-responsible-investing","https://www.abcfinancial.net/blog/socially-responsible-investing")</f>
        <v>https://www.abcfinancial.net/blog/socially-responsible-investing</v>
      </c>
      <c r="H73" s="87">
        <v>63</v>
      </c>
      <c r="I73" s="87">
        <v>0</v>
      </c>
      <c r="J73" s="87">
        <v>11</v>
      </c>
      <c r="K73" s="93">
        <v>44248.111273148148</v>
      </c>
      <c r="M73" s="87" t="s">
        <v>603</v>
      </c>
    </row>
    <row r="74" spans="1:13" x14ac:dyDescent="0.2">
      <c r="A74" s="87">
        <v>78</v>
      </c>
      <c r="B74" s="87" t="s">
        <v>96</v>
      </c>
      <c r="C74" s="87">
        <v>45</v>
      </c>
      <c r="D74" s="87">
        <v>45</v>
      </c>
      <c r="F74" s="87">
        <v>150</v>
      </c>
      <c r="G74" s="92" t="str">
        <f>HYPERLINK("https://www.abcfinancial.net/resource-center/retirement/what-is-a-roth-401k","https://www.abcfinancial.net/resource-center/retirement/what-is-a-roth-401k")</f>
        <v>https://www.abcfinancial.net/resource-center/retirement/what-is-a-roth-401k</v>
      </c>
      <c r="H74" s="87">
        <v>35</v>
      </c>
      <c r="I74" s="87">
        <v>0</v>
      </c>
      <c r="J74" s="87">
        <v>3</v>
      </c>
      <c r="K74" s="93">
        <v>44232.861458333333</v>
      </c>
      <c r="M74" s="87" t="s">
        <v>608</v>
      </c>
    </row>
    <row r="75" spans="1:13" x14ac:dyDescent="0.2">
      <c r="A75" s="87">
        <v>79</v>
      </c>
      <c r="B75" s="87" t="s">
        <v>357</v>
      </c>
      <c r="C75" s="87">
        <v>39</v>
      </c>
      <c r="D75" s="87">
        <v>50</v>
      </c>
      <c r="E75" s="93">
        <v>44217.301817129628</v>
      </c>
      <c r="F75" s="87">
        <v>30</v>
      </c>
      <c r="G75" s="92" t="str">
        <f>HYPERLINK("https://www.abcfinancial.net/blog/socially-responsible-investing","https://www.abcfinancial.net/blog/socially-responsible-investing")</f>
        <v>https://www.abcfinancial.net/blog/socially-responsible-investing</v>
      </c>
      <c r="H75" s="87">
        <v>47</v>
      </c>
      <c r="I75" s="87">
        <v>0</v>
      </c>
      <c r="K75" s="93">
        <v>44244.715254629627</v>
      </c>
      <c r="M75" s="87" t="s">
        <v>572</v>
      </c>
    </row>
    <row r="76" spans="1:13" x14ac:dyDescent="0.2">
      <c r="A76" s="87">
        <v>80</v>
      </c>
      <c r="B76" s="87" t="s">
        <v>296</v>
      </c>
      <c r="C76" s="87">
        <v>42</v>
      </c>
      <c r="D76" s="87">
        <v>42</v>
      </c>
      <c r="E76" s="93"/>
      <c r="F76" s="87">
        <v>50</v>
      </c>
      <c r="G76" s="92" t="str">
        <f>HYPERLINK("https://www.abcfinancial.net/","https://www.abcfinancial.net/")</f>
        <v>https://www.abcfinancial.net/</v>
      </c>
      <c r="H76" s="87">
        <v>0</v>
      </c>
      <c r="I76" s="87">
        <v>0</v>
      </c>
      <c r="K76" s="93">
        <v>44226.594826388886</v>
      </c>
      <c r="M76" s="87" t="s">
        <v>571</v>
      </c>
    </row>
    <row r="77" spans="1:13" x14ac:dyDescent="0.2">
      <c r="A77" s="87">
        <v>81</v>
      </c>
      <c r="B77" s="87" t="s">
        <v>338</v>
      </c>
      <c r="C77" s="87">
        <v>41</v>
      </c>
      <c r="D77" s="87">
        <v>41</v>
      </c>
      <c r="F77" s="87">
        <v>40</v>
      </c>
      <c r="G77" s="92" t="str">
        <f>HYPERLINK("https://www.abcfinancial.net/resource-center/tax/understanding-marginal-income-tax-brackets","https://www.abcfinancial.net/resource-center/tax/understanding-marginal-income-tax-brackets")</f>
        <v>https://www.abcfinancial.net/resource-center/tax/understanding-marginal-income-tax-brackets</v>
      </c>
      <c r="H77" s="87">
        <v>73</v>
      </c>
      <c r="I77" s="87">
        <v>0</v>
      </c>
      <c r="J77" s="87">
        <v>19</v>
      </c>
      <c r="K77" s="93">
        <v>44196.942349537036</v>
      </c>
      <c r="M77" s="87" t="s">
        <v>582</v>
      </c>
    </row>
    <row r="78" spans="1:13" x14ac:dyDescent="0.2">
      <c r="A78" s="87">
        <v>82</v>
      </c>
      <c r="B78" s="87" t="s">
        <v>455</v>
      </c>
      <c r="C78" s="87">
        <v>37</v>
      </c>
      <c r="D78" s="87">
        <v>40</v>
      </c>
      <c r="E78" s="93">
        <v>44214.479803240742</v>
      </c>
      <c r="F78" s="87">
        <v>10</v>
      </c>
      <c r="G78" s="92" t="str">
        <f>HYPERLINK("https://www.abcfinancial.net/","https://www.abcfinancial.net/")</f>
        <v>https://www.abcfinancial.net/</v>
      </c>
      <c r="H78" s="87">
        <v>7</v>
      </c>
      <c r="I78" s="87">
        <v>0</v>
      </c>
      <c r="K78" s="93">
        <v>44239.910358796296</v>
      </c>
      <c r="M78" s="87" t="s">
        <v>609</v>
      </c>
    </row>
    <row r="79" spans="1:13" x14ac:dyDescent="0.2">
      <c r="A79" s="87">
        <v>83</v>
      </c>
      <c r="B79" s="87" t="s">
        <v>240</v>
      </c>
      <c r="C79" s="87">
        <v>48</v>
      </c>
      <c r="D79" s="87">
        <v>48</v>
      </c>
      <c r="E79" s="93"/>
      <c r="F79" s="87">
        <v>150</v>
      </c>
      <c r="G79" s="92" t="str">
        <f>HYPERLINK("https://www.abcfinancial.net/team/robert-withers-1","https://www.abcfinancial.net/team/robert-withers-1")</f>
        <v>https://www.abcfinancial.net/team/robert-withers-1</v>
      </c>
      <c r="H79" s="87">
        <v>9</v>
      </c>
      <c r="I79" s="87">
        <v>0</v>
      </c>
      <c r="J79" s="87">
        <v>0.6</v>
      </c>
      <c r="K79" s="93">
        <v>44225.800798611112</v>
      </c>
      <c r="M79" s="87" t="s">
        <v>572</v>
      </c>
    </row>
    <row r="80" spans="1:13" x14ac:dyDescent="0.2">
      <c r="A80" s="87">
        <v>84</v>
      </c>
      <c r="B80" s="87" t="s">
        <v>190</v>
      </c>
      <c r="C80" s="87">
        <v>44</v>
      </c>
      <c r="D80" s="87">
        <v>86</v>
      </c>
      <c r="E80" s="93">
        <v>44216.730995370373</v>
      </c>
      <c r="F80" s="87">
        <v>80</v>
      </c>
      <c r="G80" s="92" t="str">
        <f>HYPERLINK("https://www.abcfinancial.net/resource-center/tax/how-income-taxes-work","https://www.abcfinancial.net/resource-center/tax/how-income-taxes-work")</f>
        <v>https://www.abcfinancial.net/resource-center/tax/how-income-taxes-work</v>
      </c>
      <c r="H80" s="87">
        <v>46</v>
      </c>
      <c r="I80" s="87">
        <v>0</v>
      </c>
      <c r="K80" s="93">
        <v>44241.973564814813</v>
      </c>
      <c r="M80" s="87" t="s">
        <v>610</v>
      </c>
    </row>
    <row r="81" spans="1:13" x14ac:dyDescent="0.2">
      <c r="A81" s="87">
        <v>86</v>
      </c>
      <c r="B81" s="87" t="s">
        <v>551</v>
      </c>
      <c r="C81" s="87">
        <v>37</v>
      </c>
      <c r="D81" s="87">
        <v>49</v>
      </c>
      <c r="E81" s="93">
        <v>44207.91914351852</v>
      </c>
      <c r="F81" s="87">
        <v>10</v>
      </c>
      <c r="G81" s="92" t="str">
        <f>HYPERLINK("https://www.abcfinancial.net/team/john-vanderpoel","https://www.abcfinancial.net/team/john-vanderpoel")</f>
        <v>https://www.abcfinancial.net/team/john-vanderpoel</v>
      </c>
      <c r="H81" s="87">
        <v>0</v>
      </c>
      <c r="I81" s="87">
        <v>0</v>
      </c>
      <c r="K81" s="93">
        <v>44233.975775462961</v>
      </c>
      <c r="M81" s="87" t="s">
        <v>604</v>
      </c>
    </row>
    <row r="82" spans="1:13" x14ac:dyDescent="0.2">
      <c r="A82" s="87">
        <v>87</v>
      </c>
      <c r="B82" s="87" t="s">
        <v>358</v>
      </c>
      <c r="C82" s="87">
        <v>44</v>
      </c>
      <c r="D82" s="87">
        <v>34</v>
      </c>
      <c r="E82" s="93">
        <v>44213.224097222221</v>
      </c>
      <c r="F82" s="87">
        <v>40</v>
      </c>
      <c r="G82" s="92" t="str">
        <f>HYPERLINK("https://www.abcfinancial.net/blog","https://www.abcfinancial.net/blog")</f>
        <v>https://www.abcfinancial.net/blog</v>
      </c>
      <c r="H82" s="87">
        <v>19</v>
      </c>
      <c r="I82" s="87">
        <v>0</v>
      </c>
      <c r="J82" s="87">
        <v>1.9</v>
      </c>
      <c r="K82" s="93">
        <v>44239.360092592593</v>
      </c>
      <c r="M82" s="87" t="s">
        <v>601</v>
      </c>
    </row>
    <row r="83" spans="1:13" x14ac:dyDescent="0.2">
      <c r="A83" s="87">
        <v>88</v>
      </c>
      <c r="B83" s="87" t="s">
        <v>148</v>
      </c>
      <c r="C83" s="87">
        <v>45</v>
      </c>
      <c r="D83" s="87">
        <v>33</v>
      </c>
      <c r="E83" s="93">
        <v>44220.800798611112</v>
      </c>
      <c r="F83" s="87">
        <v>200</v>
      </c>
      <c r="G83" s="92" t="str">
        <f>HYPERLINK("https://www.abcfinancial.net/resource-center/money/life-and-death-of-a-20-dollar-bill","https://www.abcfinancial.net/resource-center/money/life-and-death-of-a-20-dollar-bill")</f>
        <v>https://www.abcfinancial.net/resource-center/money/life-and-death-of-a-20-dollar-bill</v>
      </c>
      <c r="H83" s="87">
        <v>6</v>
      </c>
      <c r="I83" s="87">
        <v>0</v>
      </c>
      <c r="K83" s="93">
        <v>44248.354907407411</v>
      </c>
      <c r="M83" s="87" t="s">
        <v>600</v>
      </c>
    </row>
    <row r="84" spans="1:13" x14ac:dyDescent="0.2">
      <c r="A84" s="87">
        <v>89</v>
      </c>
      <c r="B84" s="87" t="s">
        <v>185</v>
      </c>
      <c r="C84" s="87">
        <v>48</v>
      </c>
      <c r="D84" s="87">
        <v>48</v>
      </c>
      <c r="E84" s="93"/>
      <c r="F84" s="87">
        <v>100</v>
      </c>
      <c r="G84" s="92" t="str">
        <f>HYPERLINK("https://www.abcfinancial.net/resource-center/investment/should-you-invest-in-exchange-traded-funds","https://www.abcfinancial.net/resource-center/investment/should-you-invest-in-exchange-traded-funds")</f>
        <v>https://www.abcfinancial.net/resource-center/investment/should-you-invest-in-exchange-traded-funds</v>
      </c>
      <c r="H84" s="87">
        <v>57</v>
      </c>
      <c r="I84" s="87">
        <v>0</v>
      </c>
      <c r="J84" s="87">
        <v>0.6</v>
      </c>
      <c r="K84" s="93">
        <v>44226.977766203701</v>
      </c>
      <c r="M84" s="87" t="s">
        <v>611</v>
      </c>
    </row>
    <row r="85" spans="1:13" x14ac:dyDescent="0.2">
      <c r="A85" s="87">
        <v>90</v>
      </c>
      <c r="B85" s="87" t="s">
        <v>123</v>
      </c>
      <c r="C85" s="87">
        <v>54</v>
      </c>
      <c r="D85" s="87">
        <v>54</v>
      </c>
      <c r="E85" s="93"/>
      <c r="F85" s="87">
        <v>300</v>
      </c>
      <c r="G85" s="92" t="str">
        <f>HYPERLINK("https://www.abcfinancial.net/blog/socially-responsible-investing","https://www.abcfinancial.net/blog/socially-responsible-investing")</f>
        <v>https://www.abcfinancial.net/blog/socially-responsible-investing</v>
      </c>
      <c r="H85" s="87">
        <v>42</v>
      </c>
      <c r="I85" s="87">
        <v>0</v>
      </c>
      <c r="J85" s="87">
        <v>11</v>
      </c>
      <c r="K85" s="93">
        <v>44247.828761574077</v>
      </c>
      <c r="M85" s="87" t="s">
        <v>587</v>
      </c>
    </row>
    <row r="86" spans="1:13" x14ac:dyDescent="0.2">
      <c r="A86" s="87">
        <v>91</v>
      </c>
      <c r="B86" s="87" t="s">
        <v>112</v>
      </c>
      <c r="C86" s="87">
        <v>48</v>
      </c>
      <c r="D86" s="87">
        <v>49</v>
      </c>
      <c r="E86" s="93">
        <v>44206.348321759258</v>
      </c>
      <c r="F86" s="87">
        <v>250</v>
      </c>
      <c r="G86" s="92" t="str">
        <f>HYPERLINK("https://www.abcfinancial.net/blog/when-will-the-recession-officially-start","https://www.abcfinancial.net/blog/when-will-the-recession-officially-start")</f>
        <v>https://www.abcfinancial.net/blog/when-will-the-recession-officially-start</v>
      </c>
      <c r="H86" s="87">
        <v>59</v>
      </c>
      <c r="I86" s="87">
        <v>0</v>
      </c>
      <c r="K86" s="93">
        <v>44232.674027777779</v>
      </c>
      <c r="M86" s="87" t="s">
        <v>612</v>
      </c>
    </row>
    <row r="87" spans="1:13" x14ac:dyDescent="0.2">
      <c r="A87" s="87">
        <v>92</v>
      </c>
      <c r="B87" s="87" t="s">
        <v>389</v>
      </c>
      <c r="C87" s="87">
        <v>44</v>
      </c>
      <c r="D87" s="87">
        <v>49</v>
      </c>
      <c r="E87" s="93">
        <v>44205.64638888889</v>
      </c>
      <c r="F87" s="87">
        <v>30</v>
      </c>
      <c r="G87" s="92" t="str">
        <f>HYPERLINK("https://www.abcfinancial.net/","https://www.abcfinancial.net/")</f>
        <v>https://www.abcfinancial.net/</v>
      </c>
      <c r="H87" s="87">
        <v>0</v>
      </c>
      <c r="I87" s="87">
        <v>0</v>
      </c>
      <c r="J87" s="87">
        <v>40</v>
      </c>
      <c r="K87" s="93">
        <v>44231.122256944444</v>
      </c>
      <c r="M87" s="87" t="s">
        <v>591</v>
      </c>
    </row>
    <row r="88" spans="1:13" x14ac:dyDescent="0.2">
      <c r="A88" s="87">
        <v>93</v>
      </c>
      <c r="B88" s="87" t="s">
        <v>210</v>
      </c>
      <c r="C88" s="87">
        <v>47</v>
      </c>
      <c r="D88" s="87">
        <v>44</v>
      </c>
      <c r="E88" s="93">
        <v>44204.37740740741</v>
      </c>
      <c r="F88" s="87">
        <v>60</v>
      </c>
      <c r="G88" s="92" t="str">
        <f>HYPERLINK("https://www.abcfinancial.net/team/john-vanderpoel","https://www.abcfinancial.net/team/john-vanderpoel")</f>
        <v>https://www.abcfinancial.net/team/john-vanderpoel</v>
      </c>
      <c r="H88" s="87">
        <v>9</v>
      </c>
      <c r="I88" s="87">
        <v>0</v>
      </c>
      <c r="K88" s="93">
        <v>44230.532326388886</v>
      </c>
      <c r="M88" s="87" t="s">
        <v>568</v>
      </c>
    </row>
    <row r="89" spans="1:13" x14ac:dyDescent="0.2">
      <c r="A89" s="87">
        <v>94</v>
      </c>
      <c r="B89" s="87" t="s">
        <v>193</v>
      </c>
      <c r="C89" s="87">
        <v>48</v>
      </c>
      <c r="D89" s="87">
        <v>48</v>
      </c>
      <c r="E89" s="93"/>
      <c r="F89" s="87">
        <v>70</v>
      </c>
      <c r="G89" s="92" t="str">
        <f>HYPERLINK("https://www.abcfinancial.net/blog/resilience-perseverance-and-innovation","https://www.abcfinancial.net/blog/resilience-perseverance-and-innovation")</f>
        <v>https://www.abcfinancial.net/blog/resilience-perseverance-and-innovation</v>
      </c>
      <c r="H89" s="87">
        <v>0</v>
      </c>
      <c r="I89" s="87">
        <v>0</v>
      </c>
      <c r="K89" s="93">
        <v>44230.043043981481</v>
      </c>
      <c r="M89" s="87" t="s">
        <v>613</v>
      </c>
    </row>
    <row r="90" spans="1:13" x14ac:dyDescent="0.2">
      <c r="A90" s="87">
        <v>95</v>
      </c>
      <c r="B90" s="87" t="s">
        <v>126</v>
      </c>
      <c r="C90" s="87">
        <v>56</v>
      </c>
      <c r="D90" s="87">
        <v>56</v>
      </c>
      <c r="F90" s="87">
        <v>350</v>
      </c>
      <c r="G90" s="92" t="str">
        <f>HYPERLINK("https://www.abcfinancial.net/blog/socially-responsible-investing","https://www.abcfinancial.net/blog/socially-responsible-investing")</f>
        <v>https://www.abcfinancial.net/blog/socially-responsible-investing</v>
      </c>
      <c r="H90" s="87">
        <v>39</v>
      </c>
      <c r="I90" s="87">
        <v>0</v>
      </c>
      <c r="J90" s="87">
        <v>14</v>
      </c>
      <c r="K90" s="93">
        <v>44238.900509259256</v>
      </c>
      <c r="M90" s="87" t="s">
        <v>614</v>
      </c>
    </row>
    <row r="91" spans="1:13" x14ac:dyDescent="0.2">
      <c r="A91" s="87">
        <v>96</v>
      </c>
      <c r="B91" s="87" t="s">
        <v>529</v>
      </c>
      <c r="C91" s="87">
        <v>43</v>
      </c>
      <c r="D91" s="87">
        <v>47</v>
      </c>
      <c r="E91" s="93">
        <v>44211.999942129631</v>
      </c>
      <c r="F91" s="87">
        <v>10</v>
      </c>
      <c r="G91" s="92" t="str">
        <f>HYPERLINK("https://www.abcfinancial.net/","https://www.abcfinancial.net/")</f>
        <v>https://www.abcfinancial.net/</v>
      </c>
      <c r="H91" s="87">
        <v>12</v>
      </c>
      <c r="I91" s="87">
        <v>0</v>
      </c>
      <c r="K91" s="93">
        <v>44238.675057870372</v>
      </c>
      <c r="M91" s="87" t="s">
        <v>608</v>
      </c>
    </row>
    <row r="92" spans="1:13" x14ac:dyDescent="0.2">
      <c r="A92" s="87">
        <v>97</v>
      </c>
      <c r="B92" s="87" t="s">
        <v>211</v>
      </c>
      <c r="C92" s="87">
        <v>51</v>
      </c>
      <c r="D92" s="87">
        <v>42</v>
      </c>
      <c r="E92" s="93">
        <v>44199.028229166666</v>
      </c>
      <c r="F92" s="87">
        <v>90</v>
      </c>
      <c r="G92" s="92" t="str">
        <f t="shared" ref="G92:G93" si="3">HYPERLINK("https://www.abcfinancial.net/blog/abc-financial-acquires-true-north-capital-alliance","https://www.abcfinancial.net/blog/abc-financial-acquires-true-north-capital-alliance")</f>
        <v>https://www.abcfinancial.net/blog/abc-financial-acquires-true-north-capital-alliance</v>
      </c>
      <c r="H92" s="87">
        <v>5</v>
      </c>
      <c r="I92" s="87">
        <v>0</v>
      </c>
      <c r="K92" s="93">
        <v>44225.820138888892</v>
      </c>
      <c r="M92" s="87" t="s">
        <v>591</v>
      </c>
    </row>
    <row r="93" spans="1:13" x14ac:dyDescent="0.2">
      <c r="A93" s="87">
        <v>98</v>
      </c>
      <c r="B93" s="87" t="s">
        <v>530</v>
      </c>
      <c r="C93" s="87">
        <v>43</v>
      </c>
      <c r="D93" s="87">
        <v>41</v>
      </c>
      <c r="E93" s="93">
        <v>44211.242442129631</v>
      </c>
      <c r="F93" s="87">
        <v>10</v>
      </c>
      <c r="G93" s="92" t="str">
        <f t="shared" si="3"/>
        <v>https://www.abcfinancial.net/blog/abc-financial-acquires-true-north-capital-alliance</v>
      </c>
      <c r="H93" s="87">
        <v>6</v>
      </c>
      <c r="I93" s="87">
        <v>0</v>
      </c>
      <c r="K93" s="93">
        <v>44237.712083333332</v>
      </c>
      <c r="M93" s="87" t="s">
        <v>584</v>
      </c>
    </row>
    <row r="94" spans="1:13" x14ac:dyDescent="0.2">
      <c r="A94" s="87">
        <v>99</v>
      </c>
      <c r="B94" s="87" t="s">
        <v>191</v>
      </c>
      <c r="C94" s="87">
        <v>47</v>
      </c>
      <c r="D94" s="87">
        <v>44</v>
      </c>
      <c r="E94" s="93">
        <v>44207.437488425923</v>
      </c>
      <c r="F94" s="87">
        <v>80</v>
      </c>
      <c r="G94" s="92" t="str">
        <f>HYPERLINK("https://www.abcfinancial.net/team/john-vanderpoel","https://www.abcfinancial.net/team/john-vanderpoel")</f>
        <v>https://www.abcfinancial.net/team/john-vanderpoel</v>
      </c>
      <c r="H94" s="87">
        <v>8</v>
      </c>
      <c r="I94" s="87">
        <v>0</v>
      </c>
      <c r="K94" s="93">
        <v>44232.957557870373</v>
      </c>
      <c r="M94" s="87" t="s">
        <v>568</v>
      </c>
    </row>
    <row r="95" spans="1:13" x14ac:dyDescent="0.2">
      <c r="A95" s="87">
        <v>101</v>
      </c>
      <c r="B95" s="87" t="s">
        <v>267</v>
      </c>
      <c r="C95" s="87">
        <v>52</v>
      </c>
      <c r="D95" s="87">
        <v>42</v>
      </c>
      <c r="E95" s="93">
        <v>44199.374930555554</v>
      </c>
      <c r="F95" s="87">
        <v>80</v>
      </c>
      <c r="G95" s="92" t="str">
        <f>HYPERLINK("https://www.abcfinancial.net/team/tom-whitnah-1","https://www.abcfinancial.net/team/tom-whitnah-1")</f>
        <v>https://www.abcfinancial.net/team/tom-whitnah-1</v>
      </c>
      <c r="H95" s="87">
        <v>5</v>
      </c>
      <c r="I95" s="87">
        <v>0</v>
      </c>
      <c r="J95" s="87">
        <v>1.5</v>
      </c>
      <c r="K95" s="93">
        <v>44225.095208333332</v>
      </c>
      <c r="M95" s="87" t="s">
        <v>601</v>
      </c>
    </row>
    <row r="96" spans="1:13" x14ac:dyDescent="0.2">
      <c r="A96" s="87">
        <v>102</v>
      </c>
      <c r="B96" s="87" t="s">
        <v>390</v>
      </c>
      <c r="C96" s="87">
        <v>48</v>
      </c>
      <c r="D96" s="87">
        <v>59</v>
      </c>
      <c r="E96" s="93">
        <v>44201.141585648147</v>
      </c>
      <c r="F96" s="87">
        <v>30</v>
      </c>
      <c r="G96" s="92" t="str">
        <f>HYPERLINK("https://www.abcfinancial.net/resource-center/investment/mutual-funds-vs-etfs","https://www.abcfinancial.net/resource-center/investment/mutual-funds-vs-etfs")</f>
        <v>https://www.abcfinancial.net/resource-center/investment/mutual-funds-vs-etfs</v>
      </c>
      <c r="H96" s="87">
        <v>0</v>
      </c>
      <c r="I96" s="87">
        <v>0</v>
      </c>
      <c r="K96" s="93">
        <v>44227.819918981484</v>
      </c>
      <c r="M96" s="87" t="s">
        <v>601</v>
      </c>
    </row>
    <row r="97" spans="1:13" x14ac:dyDescent="0.2">
      <c r="A97" s="87">
        <v>103</v>
      </c>
      <c r="B97" s="87" t="s">
        <v>230</v>
      </c>
      <c r="C97" s="87">
        <v>52</v>
      </c>
      <c r="D97" s="87">
        <v>52</v>
      </c>
      <c r="E97" s="93"/>
      <c r="F97" s="87">
        <v>80</v>
      </c>
      <c r="G97" s="92" t="str">
        <f>HYPERLINK("https://www.abcfinancial.net/resource-center/investment/a-decision-not-made-is-still-a-decision","https://www.abcfinancial.net/resource-center/investment/a-decision-not-made-is-still-a-decision")</f>
        <v>https://www.abcfinancial.net/resource-center/investment/a-decision-not-made-is-still-a-decision</v>
      </c>
      <c r="H97" s="87">
        <v>0</v>
      </c>
      <c r="I97" s="87">
        <v>0</v>
      </c>
      <c r="K97" s="93">
        <v>44235.953680555554</v>
      </c>
      <c r="M97" s="87" t="s">
        <v>568</v>
      </c>
    </row>
    <row r="98" spans="1:13" x14ac:dyDescent="0.2">
      <c r="A98" s="87">
        <v>104</v>
      </c>
      <c r="B98" s="87" t="s">
        <v>194</v>
      </c>
      <c r="C98" s="87">
        <v>55</v>
      </c>
      <c r="D98" s="87">
        <v>55</v>
      </c>
      <c r="E98" s="93"/>
      <c r="F98" s="87">
        <v>150</v>
      </c>
      <c r="G98" s="92" t="str">
        <f>HYPERLINK("https://www.abcfinancial.net/resource-center/money/what-is-my-current-cash-flow","https://www.abcfinancial.net/resource-center/money/what-is-my-current-cash-flow")</f>
        <v>https://www.abcfinancial.net/resource-center/money/what-is-my-current-cash-flow</v>
      </c>
      <c r="H98" s="87">
        <v>2</v>
      </c>
      <c r="I98" s="87">
        <v>0</v>
      </c>
      <c r="K98" s="93">
        <v>44245.438287037039</v>
      </c>
      <c r="M98" s="87" t="s">
        <v>615</v>
      </c>
    </row>
    <row r="99" spans="1:13" x14ac:dyDescent="0.2">
      <c r="A99" s="87">
        <v>106</v>
      </c>
      <c r="B99" s="87" t="s">
        <v>181</v>
      </c>
      <c r="C99" s="87">
        <v>55</v>
      </c>
      <c r="D99" s="87">
        <v>55</v>
      </c>
      <c r="E99" s="93"/>
      <c r="F99" s="87">
        <v>150</v>
      </c>
      <c r="G99" s="92" t="str">
        <f>HYPERLINK("https://www.abcfinancial.net/blog/socially-responsible-investing","https://www.abcfinancial.net/blog/socially-responsible-investing")</f>
        <v>https://www.abcfinancial.net/blog/socially-responsible-investing</v>
      </c>
      <c r="H99" s="87">
        <v>39</v>
      </c>
      <c r="I99" s="87">
        <v>0</v>
      </c>
      <c r="J99" s="87">
        <v>10</v>
      </c>
      <c r="K99" s="93">
        <v>44239.506423611114</v>
      </c>
      <c r="M99" s="87" t="s">
        <v>603</v>
      </c>
    </row>
    <row r="100" spans="1:13" x14ac:dyDescent="0.2">
      <c r="A100" s="87">
        <v>107</v>
      </c>
      <c r="B100" s="87" t="s">
        <v>104</v>
      </c>
      <c r="C100" s="87">
        <v>59</v>
      </c>
      <c r="D100" s="87">
        <v>59</v>
      </c>
      <c r="E100" s="93"/>
      <c r="F100" s="87">
        <v>400</v>
      </c>
      <c r="G100" s="92" t="str">
        <f>HYPERLINK("https://www.abcfinancial.net/resource-center/insurance/how-does-whole-life-insurance-work","https://www.abcfinancial.net/resource-center/insurance/how-does-whole-life-insurance-work")</f>
        <v>https://www.abcfinancial.net/resource-center/insurance/how-does-whole-life-insurance-work</v>
      </c>
      <c r="H100" s="87">
        <v>33</v>
      </c>
      <c r="I100" s="87">
        <v>0</v>
      </c>
      <c r="J100" s="87">
        <v>12</v>
      </c>
      <c r="K100" s="93">
        <v>44236.799803240741</v>
      </c>
      <c r="M100" s="87" t="s">
        <v>572</v>
      </c>
    </row>
    <row r="101" spans="1:13" x14ac:dyDescent="0.2">
      <c r="A101" s="87">
        <v>108</v>
      </c>
      <c r="B101" s="87" t="s">
        <v>283</v>
      </c>
      <c r="C101" s="87">
        <v>50</v>
      </c>
      <c r="D101" s="87">
        <v>50</v>
      </c>
      <c r="E101" s="93"/>
      <c r="F101" s="87">
        <v>40</v>
      </c>
      <c r="G101" s="92" t="str">
        <f>HYPERLINK("http://www.abcfinancial.net/resource-center/lifestyle/lots-of-variables-with-fixed-rate-mortgages","http://www.abcfinancial.net/resource-center/lifestyle/lots-of-variables-with-fixed-rate-mortgages")</f>
        <v>http://www.abcfinancial.net/resource-center/lifestyle/lots-of-variables-with-fixed-rate-mortgages</v>
      </c>
      <c r="H101" s="87">
        <v>48</v>
      </c>
      <c r="I101" s="87">
        <v>0</v>
      </c>
      <c r="J101" s="87">
        <v>0.2</v>
      </c>
      <c r="K101" s="93">
        <v>44236.509756944448</v>
      </c>
      <c r="M101" s="87" t="s">
        <v>615</v>
      </c>
    </row>
    <row r="102" spans="1:13" x14ac:dyDescent="0.2">
      <c r="A102" s="87">
        <v>109</v>
      </c>
      <c r="B102" s="87" t="s">
        <v>531</v>
      </c>
      <c r="C102" s="87">
        <v>46</v>
      </c>
      <c r="D102" s="87">
        <v>46</v>
      </c>
      <c r="E102" s="93"/>
      <c r="F102" s="87">
        <v>10</v>
      </c>
      <c r="G102" s="92" t="str">
        <f>HYPERLINK("https://www.abcfinancial.net/services-new","https://www.abcfinancial.net/services-new")</f>
        <v>https://www.abcfinancial.net/services-new</v>
      </c>
      <c r="H102" s="87">
        <v>13</v>
      </c>
      <c r="I102" s="87">
        <v>0</v>
      </c>
      <c r="J102" s="87">
        <v>6</v>
      </c>
      <c r="K102" s="93">
        <v>44224.706261574072</v>
      </c>
      <c r="M102" s="87" t="s">
        <v>616</v>
      </c>
    </row>
    <row r="103" spans="1:13" x14ac:dyDescent="0.2">
      <c r="A103" s="87">
        <v>110</v>
      </c>
      <c r="B103" s="87" t="s">
        <v>201</v>
      </c>
      <c r="C103" s="87">
        <v>52</v>
      </c>
      <c r="D103" s="87">
        <v>52</v>
      </c>
      <c r="E103" s="93"/>
      <c r="F103" s="87">
        <v>50</v>
      </c>
      <c r="G103" s="92" t="str">
        <f>HYPERLINK("https://www.abcfinancial.net/team/nick-andresen-1","https://www.abcfinancial.net/team/nick-andresen-1")</f>
        <v>https://www.abcfinancial.net/team/nick-andresen-1</v>
      </c>
      <c r="H103" s="87">
        <v>2</v>
      </c>
      <c r="I103" s="87">
        <v>0</v>
      </c>
      <c r="K103" s="93">
        <v>44227.735277777778</v>
      </c>
      <c r="M103" s="87" t="s">
        <v>572</v>
      </c>
    </row>
    <row r="104" spans="1:13" x14ac:dyDescent="0.2">
      <c r="A104" s="87">
        <v>111</v>
      </c>
      <c r="B104" s="87" t="s">
        <v>456</v>
      </c>
      <c r="C104" s="87">
        <v>49</v>
      </c>
      <c r="D104" s="87">
        <v>49</v>
      </c>
      <c r="E104" s="93"/>
      <c r="F104" s="87">
        <v>20</v>
      </c>
      <c r="G104" s="92" t="str">
        <f>HYPERLINK("https://www.abcfinancial.net/","https://www.abcfinancial.net/")</f>
        <v>https://www.abcfinancial.net/</v>
      </c>
      <c r="H104" s="87">
        <v>2</v>
      </c>
      <c r="I104" s="87">
        <v>0</v>
      </c>
      <c r="K104" s="93">
        <v>44246.976689814815</v>
      </c>
      <c r="M104" s="87" t="s">
        <v>570</v>
      </c>
    </row>
    <row r="105" spans="1:13" x14ac:dyDescent="0.2">
      <c r="A105" s="87">
        <v>113</v>
      </c>
      <c r="B105" s="87" t="s">
        <v>359</v>
      </c>
      <c r="C105" s="87">
        <v>50</v>
      </c>
      <c r="D105" s="87">
        <v>50</v>
      </c>
      <c r="F105" s="87">
        <v>30</v>
      </c>
      <c r="G105" s="92" t="str">
        <f>HYPERLINK("https://www.abcfinancial.net/blog/12-estate-planning-must-dos","https://www.abcfinancial.net/blog/12-estate-planning-must-dos")</f>
        <v>https://www.abcfinancial.net/blog/12-estate-planning-must-dos</v>
      </c>
      <c r="H105" s="87">
        <v>0</v>
      </c>
      <c r="I105" s="87">
        <v>0</v>
      </c>
      <c r="K105" s="93">
        <v>44243.672615740739</v>
      </c>
      <c r="M105" s="87" t="s">
        <v>617</v>
      </c>
    </row>
    <row r="106" spans="1:13" x14ac:dyDescent="0.2">
      <c r="A106" s="87">
        <v>114</v>
      </c>
      <c r="B106" s="87" t="s">
        <v>247</v>
      </c>
      <c r="C106" s="87">
        <v>59</v>
      </c>
      <c r="D106" s="87">
        <v>50</v>
      </c>
      <c r="E106" s="93">
        <v>44189.260914351849</v>
      </c>
      <c r="F106" s="87">
        <v>150</v>
      </c>
      <c r="G106" s="92" t="str">
        <f>HYPERLINK("https://www.abcfinancial.net/blog","https://www.abcfinancial.net/blog")</f>
        <v>https://www.abcfinancial.net/blog</v>
      </c>
      <c r="H106" s="87">
        <v>2</v>
      </c>
      <c r="I106" s="87">
        <v>0</v>
      </c>
      <c r="K106" s="93">
        <v>44216.770127314812</v>
      </c>
      <c r="M106" s="87" t="s">
        <v>572</v>
      </c>
    </row>
    <row r="107" spans="1:13" x14ac:dyDescent="0.2">
      <c r="A107" s="87">
        <v>115</v>
      </c>
      <c r="B107" s="87" t="s">
        <v>223</v>
      </c>
      <c r="C107" s="87">
        <v>58</v>
      </c>
      <c r="D107" s="87">
        <v>51</v>
      </c>
      <c r="E107" s="93">
        <v>44207.450729166667</v>
      </c>
      <c r="F107" s="87">
        <v>100</v>
      </c>
      <c r="G107" s="92" t="str">
        <f>HYPERLINK("https://www.abcfinancial.net/team/robert-withers-1","https://www.abcfinancial.net/team/robert-withers-1")</f>
        <v>https://www.abcfinancial.net/team/robert-withers-1</v>
      </c>
      <c r="H107" s="87">
        <v>0</v>
      </c>
      <c r="I107" s="87">
        <v>0</v>
      </c>
      <c r="J107" s="87">
        <v>4.5</v>
      </c>
      <c r="K107" s="93">
        <v>44233.937777777777</v>
      </c>
      <c r="M107" s="87" t="s">
        <v>618</v>
      </c>
    </row>
    <row r="108" spans="1:13" x14ac:dyDescent="0.2">
      <c r="A108" s="87">
        <v>116</v>
      </c>
      <c r="B108" s="87" t="s">
        <v>231</v>
      </c>
      <c r="C108" s="87">
        <v>56</v>
      </c>
      <c r="D108" s="87">
        <v>60</v>
      </c>
      <c r="E108" s="93">
        <v>44184.14508101852</v>
      </c>
      <c r="F108" s="87">
        <v>60</v>
      </c>
      <c r="G108" s="92" t="str">
        <f>HYPERLINK("https://www.abcfinancial.net/resource-center/tax/understanding-marginal-income-tax-brackets","https://www.abcfinancial.net/resource-center/tax/understanding-marginal-income-tax-brackets")</f>
        <v>https://www.abcfinancial.net/resource-center/tax/understanding-marginal-income-tax-brackets</v>
      </c>
      <c r="H108" s="87">
        <v>42</v>
      </c>
      <c r="I108" s="87">
        <v>0</v>
      </c>
      <c r="J108" s="87">
        <v>2</v>
      </c>
      <c r="K108" s="93">
        <v>44211.113923611112</v>
      </c>
      <c r="M108" s="87" t="s">
        <v>619</v>
      </c>
    </row>
    <row r="109" spans="1:13" x14ac:dyDescent="0.2">
      <c r="A109" s="87">
        <v>117</v>
      </c>
      <c r="B109" s="87" t="s">
        <v>323</v>
      </c>
      <c r="C109" s="87">
        <v>56</v>
      </c>
      <c r="D109" s="87">
        <v>56</v>
      </c>
      <c r="F109" s="87">
        <v>60</v>
      </c>
      <c r="G109" s="92" t="str">
        <f>HYPERLINK("https://www.abcfinancial.net/blog/how-our-economy-can-bounce-back","https://www.abcfinancial.net/blog/how-our-economy-can-bounce-back")</f>
        <v>https://www.abcfinancial.net/blog/how-our-economy-can-bounce-back</v>
      </c>
      <c r="H109" s="87">
        <v>0</v>
      </c>
      <c r="I109" s="87">
        <v>0</v>
      </c>
      <c r="J109" s="87">
        <v>0.9</v>
      </c>
      <c r="K109" s="93">
        <v>44227.602534722224</v>
      </c>
      <c r="M109" s="87" t="s">
        <v>620</v>
      </c>
    </row>
    <row r="110" spans="1:13" x14ac:dyDescent="0.2">
      <c r="A110" s="87">
        <v>118</v>
      </c>
      <c r="B110" s="87" t="s">
        <v>360</v>
      </c>
      <c r="C110" s="87">
        <v>51</v>
      </c>
      <c r="D110" s="87">
        <v>54</v>
      </c>
      <c r="E110" s="93">
        <v>44199.197268518517</v>
      </c>
      <c r="F110" s="87">
        <v>20</v>
      </c>
      <c r="G110" s="92" t="str">
        <f>HYPERLINK("https://www.abcfinancial.net/resource-center/money/life-and-death-of-a-20-dollar-bill","https://www.abcfinancial.net/resource-center/money/life-and-death-of-a-20-dollar-bill")</f>
        <v>https://www.abcfinancial.net/resource-center/money/life-and-death-of-a-20-dollar-bill</v>
      </c>
      <c r="H110" s="87">
        <v>6</v>
      </c>
      <c r="I110" s="87">
        <v>0</v>
      </c>
      <c r="K110" s="93">
        <v>44225.250127314815</v>
      </c>
      <c r="M110" s="87" t="s">
        <v>588</v>
      </c>
    </row>
    <row r="111" spans="1:13" x14ac:dyDescent="0.2">
      <c r="A111" s="87">
        <v>119</v>
      </c>
      <c r="B111" s="87" t="s">
        <v>361</v>
      </c>
      <c r="C111" s="87">
        <v>51</v>
      </c>
      <c r="D111" s="87">
        <v>55</v>
      </c>
      <c r="E111" s="93">
        <v>44210.707187499997</v>
      </c>
      <c r="F111" s="87">
        <v>20</v>
      </c>
      <c r="G111" s="92" t="str">
        <f>HYPERLINK("https://www.abcfinancial.net/blog/when-will-the-recession-officially-start","https://www.abcfinancial.net/blog/when-will-the-recession-officially-start")</f>
        <v>https://www.abcfinancial.net/blog/when-will-the-recession-officially-start</v>
      </c>
      <c r="H111" s="87">
        <v>72</v>
      </c>
      <c r="I111" s="87">
        <v>0</v>
      </c>
      <c r="K111" s="93">
        <v>44237.211296296293</v>
      </c>
      <c r="M111" s="87" t="s">
        <v>600</v>
      </c>
    </row>
    <row r="112" spans="1:13" x14ac:dyDescent="0.2">
      <c r="A112" s="87">
        <v>120</v>
      </c>
      <c r="B112" s="87" t="s">
        <v>89</v>
      </c>
      <c r="C112" s="87">
        <v>56</v>
      </c>
      <c r="D112" s="87">
        <v>56</v>
      </c>
      <c r="E112" s="93"/>
      <c r="F112" s="87">
        <v>50</v>
      </c>
      <c r="G112" s="92" t="str">
        <f>HYPERLINK("https://www.abcfinancial.net/blog/socially-responsible-investing","https://www.abcfinancial.net/blog/socially-responsible-investing")</f>
        <v>https://www.abcfinancial.net/blog/socially-responsible-investing</v>
      </c>
      <c r="H112" s="87">
        <v>61</v>
      </c>
      <c r="I112" s="87">
        <v>0</v>
      </c>
      <c r="J112" s="87">
        <v>8</v>
      </c>
      <c r="K112" s="93">
        <v>44247.009386574071</v>
      </c>
      <c r="M112" s="87" t="s">
        <v>621</v>
      </c>
    </row>
    <row r="113" spans="1:13" x14ac:dyDescent="0.2">
      <c r="A113" s="87">
        <v>121</v>
      </c>
      <c r="B113" s="87" t="s">
        <v>423</v>
      </c>
      <c r="C113" s="87">
        <v>52</v>
      </c>
      <c r="D113" s="87">
        <v>49</v>
      </c>
      <c r="E113" s="93">
        <v>44207.45553240741</v>
      </c>
      <c r="F113" s="87">
        <v>20</v>
      </c>
      <c r="G113" s="92" t="str">
        <f>HYPERLINK("https://www.abcfinancial.net/blog/teaching-money-mindfulness-to-your-children","https://www.abcfinancial.net/blog/teaching-money-mindfulness-to-your-children")</f>
        <v>https://www.abcfinancial.net/blog/teaching-money-mindfulness-to-your-children</v>
      </c>
      <c r="H113" s="87">
        <v>3</v>
      </c>
      <c r="I113" s="87">
        <v>0</v>
      </c>
      <c r="K113" s="93">
        <v>44233.798831018517</v>
      </c>
      <c r="M113" s="87" t="s">
        <v>568</v>
      </c>
    </row>
    <row r="114" spans="1:13" x14ac:dyDescent="0.2">
      <c r="A114" s="87">
        <v>122</v>
      </c>
      <c r="B114" s="87" t="s">
        <v>362</v>
      </c>
      <c r="C114" s="87">
        <v>54</v>
      </c>
      <c r="D114" s="87">
        <v>25</v>
      </c>
      <c r="E114" s="93">
        <v>44150.549085648148</v>
      </c>
      <c r="F114" s="87">
        <v>30</v>
      </c>
      <c r="G114" s="92" t="str">
        <f>HYPERLINK("https://www.abcfinancial.net/resource-center/lifestyle/the-financial-literacy-crisis","https://www.abcfinancial.net/resource-center/lifestyle/the-financial-literacy-crisis")</f>
        <v>https://www.abcfinancial.net/resource-center/lifestyle/the-financial-literacy-crisis</v>
      </c>
      <c r="H114" s="87">
        <v>8</v>
      </c>
      <c r="I114" s="87">
        <v>0</v>
      </c>
      <c r="K114" s="93">
        <v>44229.984502314815</v>
      </c>
      <c r="M114" s="87" t="s">
        <v>594</v>
      </c>
    </row>
    <row r="115" spans="1:13" x14ac:dyDescent="0.2">
      <c r="A115" s="87">
        <v>123</v>
      </c>
      <c r="B115" s="87" t="s">
        <v>105</v>
      </c>
      <c r="C115" s="87">
        <v>67</v>
      </c>
      <c r="D115" s="87">
        <v>82</v>
      </c>
      <c r="E115" s="93">
        <v>44211.828692129631</v>
      </c>
      <c r="F115" s="87">
        <v>450</v>
      </c>
      <c r="G115" s="92" t="str">
        <f>HYPERLINK("https://www.abcfinancial.net/tax-planning-strategies","https://www.abcfinancial.net/tax-planning-strategies")</f>
        <v>https://www.abcfinancial.net/tax-planning-strategies</v>
      </c>
      <c r="H115" s="87">
        <v>9</v>
      </c>
      <c r="I115" s="87">
        <v>0</v>
      </c>
      <c r="J115" s="87">
        <v>7</v>
      </c>
      <c r="K115" s="93">
        <v>44238.434988425928</v>
      </c>
      <c r="M115" s="87" t="s">
        <v>588</v>
      </c>
    </row>
    <row r="116" spans="1:13" x14ac:dyDescent="0.2">
      <c r="A116" s="87">
        <v>125</v>
      </c>
      <c r="B116" s="87" t="s">
        <v>424</v>
      </c>
      <c r="C116" s="87">
        <v>54</v>
      </c>
      <c r="D116" s="87">
        <v>88</v>
      </c>
      <c r="E116" s="93">
        <v>44201.845590277779</v>
      </c>
      <c r="F116" s="87">
        <v>20</v>
      </c>
      <c r="G116" s="92" t="str">
        <f>HYPERLINK("https://www.abcfinancial.net/resource-center/money/life-and-death-of-a-20-dollar-bill","https://www.abcfinancial.net/resource-center/money/life-and-death-of-a-20-dollar-bill")</f>
        <v>https://www.abcfinancial.net/resource-center/money/life-and-death-of-a-20-dollar-bill</v>
      </c>
      <c r="H116" s="87">
        <v>6</v>
      </c>
      <c r="I116" s="87">
        <v>0</v>
      </c>
      <c r="K116" s="93">
        <v>44228.495821759258</v>
      </c>
      <c r="M116" s="87" t="s">
        <v>588</v>
      </c>
    </row>
    <row r="117" spans="1:13" x14ac:dyDescent="0.2">
      <c r="A117" s="87">
        <v>126</v>
      </c>
      <c r="B117" s="87" t="s">
        <v>278</v>
      </c>
      <c r="C117" s="87">
        <v>60</v>
      </c>
      <c r="D117" s="87">
        <v>61</v>
      </c>
      <c r="E117" s="93">
        <v>44206.170590277776</v>
      </c>
      <c r="F117" s="87">
        <v>80</v>
      </c>
      <c r="G117" s="92" t="str">
        <f>HYPERLINK("https://www.abcfinancial.net/p/client-community","https://www.abcfinancial.net/p/client-community")</f>
        <v>https://www.abcfinancial.net/p/client-community</v>
      </c>
      <c r="H117" s="87">
        <v>27</v>
      </c>
      <c r="I117" s="87">
        <v>0</v>
      </c>
      <c r="J117" s="87">
        <v>2</v>
      </c>
      <c r="K117" s="93">
        <v>44232.150520833333</v>
      </c>
      <c r="M117" s="87" t="s">
        <v>622</v>
      </c>
    </row>
    <row r="118" spans="1:13" x14ac:dyDescent="0.2">
      <c r="A118" s="87">
        <v>127</v>
      </c>
      <c r="B118" s="87" t="s">
        <v>284</v>
      </c>
      <c r="C118" s="87">
        <v>60</v>
      </c>
      <c r="D118" s="87">
        <v>54</v>
      </c>
      <c r="E118" s="93">
        <v>44213.969027777777</v>
      </c>
      <c r="F118" s="87">
        <v>80</v>
      </c>
      <c r="G118" s="92" t="str">
        <f>HYPERLINK("https://www.abcfinancial.net/team/nick-andresen-1","https://www.abcfinancial.net/team/nick-andresen-1")</f>
        <v>https://www.abcfinancial.net/team/nick-andresen-1</v>
      </c>
      <c r="H118" s="87">
        <v>0</v>
      </c>
      <c r="I118" s="87">
        <v>0</v>
      </c>
      <c r="K118" s="93">
        <v>44239.999293981484</v>
      </c>
      <c r="M118" s="87" t="s">
        <v>610</v>
      </c>
    </row>
    <row r="119" spans="1:13" x14ac:dyDescent="0.2">
      <c r="A119" s="87">
        <v>128</v>
      </c>
      <c r="B119" s="87" t="s">
        <v>248</v>
      </c>
      <c r="C119" s="87">
        <v>60</v>
      </c>
      <c r="D119" s="87">
        <v>58</v>
      </c>
      <c r="E119" s="93">
        <v>44219.650393518517</v>
      </c>
      <c r="F119" s="87">
        <v>150</v>
      </c>
      <c r="G119" s="92" t="str">
        <f>HYPERLINK("https://www.abcfinancial.net/team/mike-rogers-1","https://www.abcfinancial.net/team/mike-rogers-1")</f>
        <v>https://www.abcfinancial.net/team/mike-rogers-1</v>
      </c>
      <c r="H119" s="87">
        <v>20</v>
      </c>
      <c r="I119" s="87">
        <v>0</v>
      </c>
      <c r="K119" s="93">
        <v>44247.021458333336</v>
      </c>
      <c r="M119" s="87" t="s">
        <v>623</v>
      </c>
    </row>
    <row r="120" spans="1:13" x14ac:dyDescent="0.2">
      <c r="A120" s="87">
        <v>129</v>
      </c>
      <c r="B120" s="87" t="s">
        <v>249</v>
      </c>
      <c r="C120" s="87">
        <v>61</v>
      </c>
      <c r="D120" s="87">
        <v>61</v>
      </c>
      <c r="F120" s="87">
        <v>80</v>
      </c>
      <c r="G120" s="92" t="str">
        <f>HYPERLINK("https://www.abcfinancial.net/team/robert-withers-1","https://www.abcfinancial.net/team/robert-withers-1")</f>
        <v>https://www.abcfinancial.net/team/robert-withers-1</v>
      </c>
      <c r="H120" s="87">
        <v>2</v>
      </c>
      <c r="I120" s="87">
        <v>0</v>
      </c>
      <c r="J120" s="87">
        <v>4</v>
      </c>
      <c r="K120" s="93">
        <v>44223.306956018518</v>
      </c>
      <c r="M120" s="87" t="s">
        <v>601</v>
      </c>
    </row>
    <row r="121" spans="1:13" x14ac:dyDescent="0.2">
      <c r="A121" s="87">
        <v>130</v>
      </c>
      <c r="B121" s="87" t="s">
        <v>111</v>
      </c>
      <c r="C121" s="87">
        <v>62</v>
      </c>
      <c r="D121" s="87">
        <v>62</v>
      </c>
      <c r="F121" s="87">
        <v>100</v>
      </c>
      <c r="G121" s="92" t="str">
        <f>HYPERLINK("https://www.abcfinancial.net/resource-center/lifestyle/should-you-choose-a-fixed-or-variable","https://www.abcfinancial.net/resource-center/lifestyle/should-you-choose-a-fixed-or-variable")</f>
        <v>https://www.abcfinancial.net/resource-center/lifestyle/should-you-choose-a-fixed-or-variable</v>
      </c>
      <c r="H121" s="87">
        <v>43</v>
      </c>
      <c r="I121" s="87">
        <v>0</v>
      </c>
      <c r="J121" s="87">
        <v>12</v>
      </c>
      <c r="K121" s="93">
        <v>44199.46802083333</v>
      </c>
      <c r="M121" s="87" t="s">
        <v>624</v>
      </c>
    </row>
    <row r="122" spans="1:13" x14ac:dyDescent="0.2">
      <c r="A122" s="87">
        <v>131</v>
      </c>
      <c r="B122" s="87" t="s">
        <v>307</v>
      </c>
      <c r="C122" s="87">
        <v>57</v>
      </c>
      <c r="D122" s="87">
        <v>56</v>
      </c>
      <c r="E122" s="93">
        <v>44185.865844907406</v>
      </c>
      <c r="F122" s="87">
        <v>20</v>
      </c>
      <c r="G122" s="92" t="str">
        <f>HYPERLINK("https://www.abcfinancial.net/","https://www.abcfinancial.net/")</f>
        <v>https://www.abcfinancial.net/</v>
      </c>
      <c r="H122" s="87">
        <v>2</v>
      </c>
      <c r="I122" s="87">
        <v>0</v>
      </c>
      <c r="K122" s="93">
        <v>44212.609050925923</v>
      </c>
      <c r="M122" s="87" t="s">
        <v>570</v>
      </c>
    </row>
    <row r="123" spans="1:13" x14ac:dyDescent="0.2">
      <c r="A123" s="87">
        <v>132</v>
      </c>
      <c r="B123" s="87" t="s">
        <v>250</v>
      </c>
      <c r="C123" s="87">
        <v>60</v>
      </c>
      <c r="D123" s="87">
        <v>60</v>
      </c>
      <c r="E123" s="93"/>
      <c r="F123" s="87">
        <v>40</v>
      </c>
      <c r="G123" s="92" t="str">
        <f>HYPERLINK("https://www.abcfinancial.net/team/tom-whitnah-1","https://www.abcfinancial.net/team/tom-whitnah-1")</f>
        <v>https://www.abcfinancial.net/team/tom-whitnah-1</v>
      </c>
      <c r="H123" s="87">
        <v>0</v>
      </c>
      <c r="I123" s="87">
        <v>0</v>
      </c>
      <c r="J123" s="87">
        <v>0.2</v>
      </c>
      <c r="K123" s="93">
        <v>44232.73704861111</v>
      </c>
      <c r="M123" s="87" t="s">
        <v>571</v>
      </c>
    </row>
    <row r="124" spans="1:13" x14ac:dyDescent="0.2">
      <c r="A124" s="87">
        <v>133</v>
      </c>
      <c r="B124" s="87" t="s">
        <v>363</v>
      </c>
      <c r="C124" s="87">
        <v>59</v>
      </c>
      <c r="D124" s="87">
        <v>71</v>
      </c>
      <c r="E124" s="93">
        <v>44197.297106481485</v>
      </c>
      <c r="F124" s="87">
        <v>30</v>
      </c>
      <c r="G124" s="92" t="str">
        <f>HYPERLINK("https://www.abcfinancial.net/resource-center/retirement/social-security-the-64000-dollar-question","https://www.abcfinancial.net/resource-center/retirement/social-security-the-64000-dollar-question")</f>
        <v>https://www.abcfinancial.net/resource-center/retirement/social-security-the-64000-dollar-question</v>
      </c>
      <c r="H124" s="87">
        <v>45</v>
      </c>
      <c r="I124" s="87">
        <v>0</v>
      </c>
      <c r="J124" s="87">
        <v>0.8</v>
      </c>
      <c r="K124" s="93">
        <v>44223.892187500001</v>
      </c>
      <c r="M124" s="87" t="s">
        <v>603</v>
      </c>
    </row>
    <row r="125" spans="1:13" x14ac:dyDescent="0.2">
      <c r="A125" s="87">
        <v>134</v>
      </c>
      <c r="B125" s="87" t="s">
        <v>308</v>
      </c>
      <c r="C125" s="87">
        <v>63</v>
      </c>
      <c r="D125" s="87">
        <v>50</v>
      </c>
      <c r="E125" s="93">
        <v>44209.514560185184</v>
      </c>
      <c r="F125" s="87">
        <v>80</v>
      </c>
      <c r="G125" s="92" t="str">
        <f>HYPERLINK("https://www.abcfinancial.net/resource-center/insurance/keep-your-umbrella-handy","https://www.abcfinancial.net/resource-center/insurance/keep-your-umbrella-handy")</f>
        <v>https://www.abcfinancial.net/resource-center/insurance/keep-your-umbrella-handy</v>
      </c>
      <c r="H125" s="87">
        <v>0</v>
      </c>
      <c r="I125" s="87">
        <v>0</v>
      </c>
      <c r="J125" s="87">
        <v>0.5</v>
      </c>
      <c r="K125" s="93">
        <v>44236.887118055558</v>
      </c>
      <c r="M125" s="87" t="s">
        <v>625</v>
      </c>
    </row>
    <row r="126" spans="1:13" x14ac:dyDescent="0.2">
      <c r="A126" s="87">
        <v>135</v>
      </c>
      <c r="B126" s="87" t="s">
        <v>192</v>
      </c>
      <c r="C126" s="87">
        <v>63</v>
      </c>
      <c r="D126" s="87">
        <v>63</v>
      </c>
      <c r="E126" s="93"/>
      <c r="F126" s="87">
        <v>80</v>
      </c>
      <c r="G126" s="92" t="str">
        <f>HYPERLINK("https://www.abcfinancial.net/resource-center/retirement/what-is-a-roth-401k","https://www.abcfinancial.net/resource-center/retirement/what-is-a-roth-401k")</f>
        <v>https://www.abcfinancial.net/resource-center/retirement/what-is-a-roth-401k</v>
      </c>
      <c r="H126" s="87">
        <v>25</v>
      </c>
      <c r="I126" s="87">
        <v>0</v>
      </c>
      <c r="K126" s="93">
        <v>44221.939259259256</v>
      </c>
      <c r="M126" s="87" t="s">
        <v>600</v>
      </c>
    </row>
    <row r="127" spans="1:13" x14ac:dyDescent="0.2">
      <c r="A127" s="87">
        <v>136</v>
      </c>
      <c r="B127" s="87" t="s">
        <v>212</v>
      </c>
      <c r="C127" s="87">
        <v>66</v>
      </c>
      <c r="D127" s="87">
        <v>66</v>
      </c>
      <c r="E127" s="93"/>
      <c r="F127" s="87">
        <v>100</v>
      </c>
      <c r="G127" s="92" t="str">
        <f>HYPERLINK("https://www.abcfinancial.net/blog/evaluating-investment-risk","https://www.abcfinancial.net/blog/evaluating-investment-risk")</f>
        <v>https://www.abcfinancial.net/blog/evaluating-investment-risk</v>
      </c>
      <c r="H127" s="87">
        <v>37</v>
      </c>
      <c r="I127" s="87">
        <v>0</v>
      </c>
      <c r="J127" s="87">
        <v>7</v>
      </c>
      <c r="K127" s="93">
        <v>44244.488726851851</v>
      </c>
      <c r="M127" s="87" t="s">
        <v>626</v>
      </c>
    </row>
    <row r="128" spans="1:13" x14ac:dyDescent="0.2">
      <c r="A128" s="87">
        <v>137</v>
      </c>
      <c r="B128" s="87" t="s">
        <v>364</v>
      </c>
      <c r="C128" s="87">
        <v>60</v>
      </c>
      <c r="D128" s="87">
        <v>43</v>
      </c>
      <c r="E128" s="93">
        <v>44177.921631944446</v>
      </c>
      <c r="F128" s="87">
        <v>30</v>
      </c>
      <c r="G128" s="92" t="str">
        <f>HYPERLINK("https://www.abcfinancial.net/resource-center/investment/global-vs-international-whats-the-difference","https://www.abcfinancial.net/resource-center/investment/global-vs-international-whats-the-difference")</f>
        <v>https://www.abcfinancial.net/resource-center/investment/global-vs-international-whats-the-difference</v>
      </c>
      <c r="H128" s="87">
        <v>28</v>
      </c>
      <c r="I128" s="87">
        <v>0</v>
      </c>
      <c r="K128" s="93">
        <v>44204.938831018517</v>
      </c>
      <c r="M128" s="87" t="s">
        <v>627</v>
      </c>
    </row>
    <row r="129" spans="1:13" x14ac:dyDescent="0.2">
      <c r="A129" s="87">
        <v>138</v>
      </c>
      <c r="B129" s="87" t="s">
        <v>159</v>
      </c>
      <c r="C129" s="87">
        <v>57</v>
      </c>
      <c r="D129" s="87">
        <v>50</v>
      </c>
      <c r="E129" s="93">
        <v>44205.567025462966</v>
      </c>
      <c r="F129" s="87">
        <v>20</v>
      </c>
      <c r="G129" s="92" t="str">
        <f>HYPERLINK("https://www.abcfinancial.net/resource-center/investment/how-compound-interest-works","https://www.abcfinancial.net/resource-center/investment/how-compound-interest-works")</f>
        <v>https://www.abcfinancial.net/resource-center/investment/how-compound-interest-works</v>
      </c>
      <c r="H129" s="87">
        <v>11</v>
      </c>
      <c r="I129" s="87">
        <v>0</v>
      </c>
      <c r="K129" s="93">
        <v>44231.251342592594</v>
      </c>
      <c r="M129" s="87" t="s">
        <v>620</v>
      </c>
    </row>
    <row r="130" spans="1:13" x14ac:dyDescent="0.2">
      <c r="A130" s="87">
        <v>140</v>
      </c>
      <c r="B130" s="87" t="s">
        <v>425</v>
      </c>
      <c r="C130" s="87">
        <v>59</v>
      </c>
      <c r="D130" s="87">
        <v>59</v>
      </c>
      <c r="E130" s="93"/>
      <c r="F130" s="87">
        <v>20</v>
      </c>
      <c r="G130" s="92" t="str">
        <f>HYPERLINK("https://www.abcfinancial.net/blog/adding-a-personal-backup-with-a-living-trust","https://www.abcfinancial.net/blog/adding-a-personal-backup-with-a-living-trust")</f>
        <v>https://www.abcfinancial.net/blog/adding-a-personal-backup-with-a-living-trust</v>
      </c>
      <c r="H130" s="87">
        <v>0</v>
      </c>
      <c r="I130" s="87">
        <v>0</v>
      </c>
      <c r="J130" s="87">
        <v>4.5</v>
      </c>
      <c r="K130" s="93">
        <v>44224.342233796298</v>
      </c>
      <c r="M130" s="87" t="s">
        <v>617</v>
      </c>
    </row>
    <row r="131" spans="1:13" x14ac:dyDescent="0.2">
      <c r="A131" s="87">
        <v>141</v>
      </c>
      <c r="B131" s="92" t="s">
        <v>532</v>
      </c>
      <c r="C131" s="87">
        <v>57</v>
      </c>
      <c r="D131" s="87">
        <v>50</v>
      </c>
      <c r="E131" s="93">
        <v>44042.144756944443</v>
      </c>
      <c r="F131" s="87">
        <v>10</v>
      </c>
      <c r="G131" s="92" t="str">
        <f>HYPERLINK("https://www.abcfinancial.net/","https://www.abcfinancial.net/")</f>
        <v>https://www.abcfinancial.net/</v>
      </c>
      <c r="H131" s="87">
        <v>2</v>
      </c>
      <c r="I131" s="87">
        <v>0</v>
      </c>
      <c r="K131" s="93">
        <v>44067.585034722222</v>
      </c>
    </row>
    <row r="132" spans="1:13" x14ac:dyDescent="0.2">
      <c r="A132" s="87">
        <v>142</v>
      </c>
      <c r="B132" s="87" t="s">
        <v>309</v>
      </c>
      <c r="C132" s="87">
        <v>62</v>
      </c>
      <c r="D132" s="87">
        <v>62</v>
      </c>
      <c r="E132" s="93"/>
      <c r="F132" s="87">
        <v>40</v>
      </c>
      <c r="G132" s="92" t="str">
        <f>HYPERLINK("https://www.abcfinancial.net/resource-center/investment/types-of-stock-market-analysis","https://www.abcfinancial.net/resource-center/investment/types-of-stock-market-analysis")</f>
        <v>https://www.abcfinancial.net/resource-center/investment/types-of-stock-market-analysis</v>
      </c>
      <c r="H132" s="87">
        <v>35</v>
      </c>
      <c r="I132" s="87">
        <v>0</v>
      </c>
      <c r="J132" s="87">
        <v>3.5</v>
      </c>
      <c r="K132" s="93">
        <v>44246.871122685188</v>
      </c>
      <c r="M132" s="87" t="s">
        <v>628</v>
      </c>
    </row>
    <row r="133" spans="1:13" x14ac:dyDescent="0.2">
      <c r="A133" s="87">
        <v>143</v>
      </c>
      <c r="B133" s="87" t="s">
        <v>133</v>
      </c>
      <c r="C133" s="87">
        <v>62</v>
      </c>
      <c r="D133" s="87">
        <v>62</v>
      </c>
      <c r="E133" s="93"/>
      <c r="F133" s="87">
        <v>40</v>
      </c>
      <c r="G133" s="92" t="str">
        <f>HYPERLINK("https://www.abcfinancial.net/blog/evaluating-investment-risk","https://www.abcfinancial.net/blog/evaluating-investment-risk")</f>
        <v>https://www.abcfinancial.net/blog/evaluating-investment-risk</v>
      </c>
      <c r="H133" s="87">
        <v>4</v>
      </c>
      <c r="I133" s="87">
        <v>0</v>
      </c>
      <c r="K133" s="93">
        <v>44241.070590277777</v>
      </c>
      <c r="M133" s="87" t="s">
        <v>629</v>
      </c>
    </row>
    <row r="134" spans="1:13" x14ac:dyDescent="0.2">
      <c r="A134" s="87">
        <v>144</v>
      </c>
      <c r="B134" s="87" t="s">
        <v>147</v>
      </c>
      <c r="C134" s="87">
        <v>65</v>
      </c>
      <c r="D134" s="87">
        <v>65</v>
      </c>
      <c r="F134" s="87">
        <v>90</v>
      </c>
      <c r="G134" s="92" t="str">
        <f>HYPERLINK("https://www.abcfinancial.net/blog/socially-responsible-investing","https://www.abcfinancial.net/blog/socially-responsible-investing")</f>
        <v>https://www.abcfinancial.net/blog/socially-responsible-investing</v>
      </c>
      <c r="H134" s="87">
        <v>58</v>
      </c>
      <c r="I134" s="87">
        <v>0</v>
      </c>
      <c r="J134" s="87">
        <v>7</v>
      </c>
      <c r="K134" s="93">
        <v>44244.680104166669</v>
      </c>
      <c r="M134" s="87" t="s">
        <v>582</v>
      </c>
    </row>
    <row r="135" spans="1:13" x14ac:dyDescent="0.2">
      <c r="A135" s="87">
        <v>145</v>
      </c>
      <c r="B135" s="87" t="s">
        <v>457</v>
      </c>
      <c r="C135" s="87">
        <v>61</v>
      </c>
      <c r="D135" s="87">
        <v>68</v>
      </c>
      <c r="E135" s="93">
        <v>44209.001840277779</v>
      </c>
      <c r="F135" s="87">
        <v>20</v>
      </c>
      <c r="G135" s="92" t="str">
        <f>HYPERLINK("https://www.abcfinancial.net/team/mike-rogers-1","https://www.abcfinancial.net/team/mike-rogers-1")</f>
        <v>https://www.abcfinancial.net/team/mike-rogers-1</v>
      </c>
      <c r="H135" s="87">
        <v>12</v>
      </c>
      <c r="I135" s="87">
        <v>0</v>
      </c>
      <c r="K135" s="93">
        <v>44236.741215277776</v>
      </c>
      <c r="M135" s="87" t="s">
        <v>630</v>
      </c>
    </row>
    <row r="136" spans="1:13" x14ac:dyDescent="0.2">
      <c r="A136" s="87">
        <v>146</v>
      </c>
      <c r="B136" s="87" t="s">
        <v>310</v>
      </c>
      <c r="C136" s="87">
        <v>60</v>
      </c>
      <c r="D136" s="87">
        <v>60</v>
      </c>
      <c r="F136" s="87">
        <v>20</v>
      </c>
      <c r="G136" s="92" t="str">
        <f>HYPERLINK("https://www.abcfinancial.net/blog/socially-responsible-investing","https://www.abcfinancial.net/blog/socially-responsible-investing")</f>
        <v>https://www.abcfinancial.net/blog/socially-responsible-investing</v>
      </c>
      <c r="H136" s="87">
        <v>33</v>
      </c>
      <c r="I136" s="87">
        <v>0</v>
      </c>
      <c r="J136" s="87">
        <v>3</v>
      </c>
      <c r="K136" s="93">
        <v>44240.184699074074</v>
      </c>
      <c r="M136" s="87" t="s">
        <v>572</v>
      </c>
    </row>
    <row r="137" spans="1:13" x14ac:dyDescent="0.2">
      <c r="A137" s="87">
        <v>148</v>
      </c>
      <c r="B137" s="87" t="s">
        <v>297</v>
      </c>
      <c r="C137" s="87">
        <v>65</v>
      </c>
      <c r="D137" s="87">
        <v>85</v>
      </c>
      <c r="E137" s="93">
        <v>44211.773344907408</v>
      </c>
      <c r="F137" s="87">
        <v>50</v>
      </c>
      <c r="G137" s="92" t="str">
        <f>HYPERLINK("https://www.abcfinancial.net/","https://www.abcfinancial.net/")</f>
        <v>https://www.abcfinancial.net/</v>
      </c>
      <c r="H137" s="87">
        <v>4</v>
      </c>
      <c r="I137" s="87">
        <v>0</v>
      </c>
      <c r="J137" s="87">
        <v>0.35</v>
      </c>
      <c r="K137" s="93">
        <v>44237.659317129626</v>
      </c>
      <c r="M137" s="87" t="s">
        <v>631</v>
      </c>
    </row>
    <row r="138" spans="1:13" x14ac:dyDescent="0.2">
      <c r="A138" s="87">
        <v>149</v>
      </c>
      <c r="B138" s="87" t="s">
        <v>552</v>
      </c>
      <c r="C138" s="87">
        <v>59</v>
      </c>
      <c r="D138" s="87">
        <v>59</v>
      </c>
      <c r="E138" s="93"/>
      <c r="F138" s="87">
        <v>10</v>
      </c>
      <c r="G138" s="92" t="str">
        <f>HYPERLINK("https://www.abcfinancial.net/tools/glossary","https://www.abcfinancial.net/tools/glossary")</f>
        <v>https://www.abcfinancial.net/tools/glossary</v>
      </c>
      <c r="H138" s="87">
        <v>24</v>
      </c>
      <c r="I138" s="87">
        <v>0</v>
      </c>
      <c r="K138" s="93">
        <v>44245.371828703705</v>
      </c>
      <c r="M138" s="87" t="s">
        <v>631</v>
      </c>
    </row>
    <row r="139" spans="1:13" x14ac:dyDescent="0.2">
      <c r="A139" s="87">
        <v>150</v>
      </c>
      <c r="B139" s="87" t="s">
        <v>391</v>
      </c>
      <c r="C139" s="87">
        <v>64</v>
      </c>
      <c r="D139" s="87">
        <v>64</v>
      </c>
      <c r="E139" s="93"/>
      <c r="F139" s="87">
        <v>40</v>
      </c>
      <c r="G139" s="92" t="str">
        <f>HYPERLINK("http://www.abcfinancial.net/tools/tax-resources/tax-forms","http://www.abcfinancial.net/tools/tax-resources/tax-forms")</f>
        <v>http://www.abcfinancial.net/tools/tax-resources/tax-forms</v>
      </c>
      <c r="H139" s="87">
        <v>36</v>
      </c>
      <c r="I139" s="87">
        <v>0</v>
      </c>
      <c r="K139" s="93">
        <v>44210.838761574072</v>
      </c>
      <c r="M139" s="87" t="s">
        <v>608</v>
      </c>
    </row>
    <row r="140" spans="1:13" x14ac:dyDescent="0.2">
      <c r="A140" s="87">
        <v>151</v>
      </c>
      <c r="B140" s="87" t="s">
        <v>232</v>
      </c>
      <c r="C140" s="87">
        <v>66</v>
      </c>
      <c r="D140" s="87">
        <v>66</v>
      </c>
      <c r="E140" s="93"/>
      <c r="F140" s="87">
        <v>60</v>
      </c>
      <c r="G140" s="92" t="str">
        <f>HYPERLINK("https://www.abcfinancial.net/resource-center/money/pay-yourself-first","https://www.abcfinancial.net/resource-center/money/pay-yourself-first")</f>
        <v>https://www.abcfinancial.net/resource-center/money/pay-yourself-first</v>
      </c>
      <c r="H140" s="87">
        <v>25</v>
      </c>
      <c r="I140" s="87">
        <v>0</v>
      </c>
      <c r="K140" s="93">
        <v>44242.033576388887</v>
      </c>
      <c r="M140" s="87" t="s">
        <v>597</v>
      </c>
    </row>
    <row r="141" spans="1:13" x14ac:dyDescent="0.2">
      <c r="A141" s="87">
        <v>152</v>
      </c>
      <c r="B141" s="87" t="s">
        <v>365</v>
      </c>
      <c r="C141" s="87">
        <v>63</v>
      </c>
      <c r="D141" s="87">
        <v>53</v>
      </c>
      <c r="E141" s="93">
        <v>44199.430717592593</v>
      </c>
      <c r="F141" s="87">
        <v>30</v>
      </c>
      <c r="G141" s="92" t="str">
        <f>HYPERLINK("https://www.abcfinancial.net/resource-center/money/life-and-death-of-a-20-dollar-bill","https://www.abcfinancial.net/resource-center/money/life-and-death-of-a-20-dollar-bill")</f>
        <v>https://www.abcfinancial.net/resource-center/money/life-and-death-of-a-20-dollar-bill</v>
      </c>
      <c r="H141" s="87">
        <v>5</v>
      </c>
      <c r="I141" s="87">
        <v>0</v>
      </c>
      <c r="K141" s="93">
        <v>44225.588275462964</v>
      </c>
      <c r="M141" s="87" t="s">
        <v>632</v>
      </c>
    </row>
    <row r="142" spans="1:13" x14ac:dyDescent="0.2">
      <c r="A142" s="87">
        <v>153</v>
      </c>
      <c r="B142" s="87" t="s">
        <v>102</v>
      </c>
      <c r="C142" s="87">
        <v>64</v>
      </c>
      <c r="D142" s="87">
        <v>64</v>
      </c>
      <c r="E142" s="93"/>
      <c r="F142" s="87">
        <v>40</v>
      </c>
      <c r="G142" s="92" t="str">
        <f>HYPERLINK("https://www.abcfinancial.net/resource-center/retirement/investment-strategies-for-retirement","https://www.abcfinancial.net/resource-center/retirement/investment-strategies-for-retirement")</f>
        <v>https://www.abcfinancial.net/resource-center/retirement/investment-strategies-for-retirement</v>
      </c>
      <c r="H142" s="87">
        <v>6</v>
      </c>
      <c r="I142" s="87">
        <v>0</v>
      </c>
      <c r="K142" s="93">
        <v>44240.322291666664</v>
      </c>
      <c r="M142" s="87" t="s">
        <v>610</v>
      </c>
    </row>
    <row r="143" spans="1:13" x14ac:dyDescent="0.2">
      <c r="A143" s="87">
        <v>154</v>
      </c>
      <c r="B143" s="87" t="s">
        <v>84</v>
      </c>
      <c r="C143" s="87">
        <v>75</v>
      </c>
      <c r="D143" s="87">
        <v>75</v>
      </c>
      <c r="E143" s="93"/>
      <c r="F143" s="87">
        <v>2000</v>
      </c>
      <c r="G143" s="92" t="str">
        <f>HYPERLINK("https://www.abcfinancial.net/blog/end-of-year-eoy-deadlines-checklist","https://www.abcfinancial.net/blog/end-of-year-eoy-deadlines-checklist")</f>
        <v>https://www.abcfinancial.net/blog/end-of-year-eoy-deadlines-checklist</v>
      </c>
      <c r="H143" s="87">
        <v>1</v>
      </c>
      <c r="I143" s="87">
        <v>0</v>
      </c>
      <c r="K143" s="93">
        <v>44247.085393518515</v>
      </c>
      <c r="M143" s="87" t="s">
        <v>633</v>
      </c>
    </row>
    <row r="144" spans="1:13" x14ac:dyDescent="0.2">
      <c r="A144" s="87">
        <v>155</v>
      </c>
      <c r="B144" s="87" t="s">
        <v>100</v>
      </c>
      <c r="C144" s="87">
        <v>67</v>
      </c>
      <c r="D144" s="87">
        <v>77</v>
      </c>
      <c r="E144" s="93">
        <v>44174.261006944442</v>
      </c>
      <c r="F144" s="87">
        <v>60</v>
      </c>
      <c r="G144" s="92" t="str">
        <f>HYPERLINK("https://www.abcfinancial.net/blog/is-a-depression-coming","https://www.abcfinancial.net/blog/is-a-depression-coming")</f>
        <v>https://www.abcfinancial.net/blog/is-a-depression-coming</v>
      </c>
      <c r="H144" s="87">
        <v>60</v>
      </c>
      <c r="I144" s="87">
        <v>0</v>
      </c>
      <c r="K144" s="93">
        <v>44201.31653935185</v>
      </c>
      <c r="M144" s="87" t="s">
        <v>634</v>
      </c>
    </row>
    <row r="145" spans="1:13" x14ac:dyDescent="0.2">
      <c r="A145" s="87">
        <v>156</v>
      </c>
      <c r="B145" s="87" t="s">
        <v>268</v>
      </c>
      <c r="C145" s="87">
        <v>65</v>
      </c>
      <c r="D145" s="87">
        <v>60</v>
      </c>
      <c r="E145" s="93">
        <v>44213.818530092591</v>
      </c>
      <c r="F145" s="87">
        <v>40</v>
      </c>
      <c r="G145" s="92" t="str">
        <f>HYPERLINK("https://www.abcfinancial.net/blog/what-you-need-to-file-your-taxes","https://www.abcfinancial.net/blog/what-you-need-to-file-your-taxes")</f>
        <v>https://www.abcfinancial.net/blog/what-you-need-to-file-your-taxes</v>
      </c>
      <c r="H145" s="87">
        <v>2</v>
      </c>
      <c r="I145" s="87">
        <v>0</v>
      </c>
      <c r="K145" s="93">
        <v>44239.71707175926</v>
      </c>
      <c r="M145" s="87" t="s">
        <v>610</v>
      </c>
    </row>
    <row r="146" spans="1:13" x14ac:dyDescent="0.2">
      <c r="A146" s="87">
        <v>157</v>
      </c>
      <c r="B146" s="87" t="s">
        <v>176</v>
      </c>
      <c r="C146" s="87">
        <v>66</v>
      </c>
      <c r="D146" s="87">
        <v>66</v>
      </c>
      <c r="E146" s="93"/>
      <c r="F146" s="87">
        <v>150</v>
      </c>
      <c r="G146" s="92" t="str">
        <f>HYPERLINK("https://www.abcfinancial.net/resource-center/money/life-and-death-of-a-20-dollar-bill","https://www.abcfinancial.net/resource-center/money/life-and-death-of-a-20-dollar-bill")</f>
        <v>https://www.abcfinancial.net/resource-center/money/life-and-death-of-a-20-dollar-bill</v>
      </c>
      <c r="H146" s="87">
        <v>50</v>
      </c>
      <c r="I146" s="87">
        <v>0</v>
      </c>
      <c r="J146" s="87">
        <v>7.0000000000000007E-2</v>
      </c>
      <c r="K146" s="93">
        <v>44239.702708333331</v>
      </c>
      <c r="M146" s="87" t="s">
        <v>635</v>
      </c>
    </row>
    <row r="147" spans="1:13" x14ac:dyDescent="0.2">
      <c r="A147" s="87">
        <v>158</v>
      </c>
      <c r="B147" s="87" t="s">
        <v>81</v>
      </c>
      <c r="C147" s="87">
        <v>72</v>
      </c>
      <c r="D147" s="87">
        <v>90</v>
      </c>
      <c r="E147" s="93">
        <v>44182.457349537035</v>
      </c>
      <c r="F147" s="87">
        <v>300</v>
      </c>
      <c r="G147" s="92" t="str">
        <f>HYPERLINK("https://www.abcfinancial.net/resource-center/tax/understanding-marginal-income-tax-brackets","https://www.abcfinancial.net/resource-center/tax/understanding-marginal-income-tax-brackets")</f>
        <v>https://www.abcfinancial.net/resource-center/tax/understanding-marginal-income-tax-brackets</v>
      </c>
      <c r="H147" s="87">
        <v>62</v>
      </c>
      <c r="I147" s="87">
        <v>0</v>
      </c>
      <c r="J147" s="87">
        <v>0.3</v>
      </c>
      <c r="K147" s="93">
        <v>44209.172280092593</v>
      </c>
      <c r="M147" s="87" t="s">
        <v>594</v>
      </c>
    </row>
    <row r="148" spans="1:13" x14ac:dyDescent="0.2">
      <c r="A148" s="87">
        <v>159</v>
      </c>
      <c r="B148" s="87" t="s">
        <v>426</v>
      </c>
      <c r="C148" s="87">
        <v>62</v>
      </c>
      <c r="D148" s="87">
        <v>62</v>
      </c>
      <c r="E148" s="93"/>
      <c r="F148" s="87">
        <v>20</v>
      </c>
      <c r="G148" s="92" t="str">
        <f>HYPERLINK("https://www.abcfinancial.net/blog/end-of-year-eoy-deadlines-checklist","https://www.abcfinancial.net/blog/end-of-year-eoy-deadlines-checklist")</f>
        <v>https://www.abcfinancial.net/blog/end-of-year-eoy-deadlines-checklist</v>
      </c>
      <c r="H148" s="87">
        <v>2</v>
      </c>
      <c r="I148" s="87">
        <v>0</v>
      </c>
      <c r="K148" s="93">
        <v>44237.837951388887</v>
      </c>
      <c r="M148" s="87" t="s">
        <v>600</v>
      </c>
    </row>
    <row r="149" spans="1:13" x14ac:dyDescent="0.2">
      <c r="A149" s="87">
        <v>160</v>
      </c>
      <c r="B149" s="87" t="s">
        <v>269</v>
      </c>
      <c r="C149" s="87">
        <v>69</v>
      </c>
      <c r="D149" s="87">
        <v>82</v>
      </c>
      <c r="E149" s="93">
        <v>44220.719930555555</v>
      </c>
      <c r="F149" s="87">
        <v>90</v>
      </c>
      <c r="G149" s="92" t="str">
        <f>HYPERLINK("https://www.abcfinancial.net/resource-center/money/life-and-death-of-a-20-dollar-bill","https://www.abcfinancial.net/resource-center/money/life-and-death-of-a-20-dollar-bill")</f>
        <v>https://www.abcfinancial.net/resource-center/money/life-and-death-of-a-20-dollar-bill</v>
      </c>
      <c r="H149" s="87">
        <v>5</v>
      </c>
      <c r="I149" s="87">
        <v>0</v>
      </c>
      <c r="K149" s="93">
        <v>44248.440162037034</v>
      </c>
      <c r="M149" s="87" t="s">
        <v>636</v>
      </c>
    </row>
    <row r="150" spans="1:13" x14ac:dyDescent="0.2">
      <c r="A150" s="87">
        <v>161</v>
      </c>
      <c r="B150" s="87" t="s">
        <v>533</v>
      </c>
      <c r="C150" s="87">
        <v>60</v>
      </c>
      <c r="D150" s="87">
        <v>60</v>
      </c>
      <c r="F150" s="87">
        <v>10</v>
      </c>
      <c r="G150" s="92" t="str">
        <f t="shared" ref="G150:G151" si="4">HYPERLINK("https://www.abcfinancial.net/","https://www.abcfinancial.net/")</f>
        <v>https://www.abcfinancial.net/</v>
      </c>
      <c r="H150" s="87">
        <v>39</v>
      </c>
      <c r="I150" s="87">
        <v>0</v>
      </c>
      <c r="K150" s="93">
        <v>44223.394490740742</v>
      </c>
      <c r="M150" s="87" t="s">
        <v>637</v>
      </c>
    </row>
    <row r="151" spans="1:13" x14ac:dyDescent="0.2">
      <c r="A151" s="87">
        <v>162</v>
      </c>
      <c r="B151" s="87" t="s">
        <v>427</v>
      </c>
      <c r="C151" s="87">
        <v>63</v>
      </c>
      <c r="D151" s="87">
        <v>71</v>
      </c>
      <c r="E151" s="93">
        <v>44204.373993055553</v>
      </c>
      <c r="F151" s="87">
        <v>20</v>
      </c>
      <c r="G151" s="92" t="str">
        <f t="shared" si="4"/>
        <v>https://www.abcfinancial.net/</v>
      </c>
      <c r="H151" s="87">
        <v>0</v>
      </c>
      <c r="I151" s="87">
        <v>0</v>
      </c>
      <c r="K151" s="93">
        <v>44230.61954861111</v>
      </c>
      <c r="M151" s="87" t="s">
        <v>586</v>
      </c>
    </row>
    <row r="152" spans="1:13" x14ac:dyDescent="0.2">
      <c r="A152" s="87">
        <v>163</v>
      </c>
      <c r="B152" s="87" t="s">
        <v>241</v>
      </c>
      <c r="C152" s="87">
        <v>71</v>
      </c>
      <c r="D152" s="87">
        <v>76</v>
      </c>
      <c r="E152" s="93">
        <v>44210.831597222219</v>
      </c>
      <c r="F152" s="87">
        <v>90</v>
      </c>
      <c r="G152" s="92" t="str">
        <f>HYPERLINK("https://www.abcfinancial.net/team/dan-mohoney-1","https://www.abcfinancial.net/team/dan-mohoney-1")</f>
        <v>https://www.abcfinancial.net/team/dan-mohoney-1</v>
      </c>
      <c r="H152" s="87">
        <v>0</v>
      </c>
      <c r="I152" s="87">
        <v>0</v>
      </c>
      <c r="J152" s="87">
        <v>2</v>
      </c>
      <c r="K152" s="93">
        <v>44236.979247685187</v>
      </c>
      <c r="M152" s="87" t="s">
        <v>570</v>
      </c>
    </row>
    <row r="153" spans="1:13" x14ac:dyDescent="0.2">
      <c r="A153" s="87">
        <v>164</v>
      </c>
      <c r="B153" s="87" t="s">
        <v>534</v>
      </c>
      <c r="C153" s="87">
        <v>63</v>
      </c>
      <c r="D153" s="87">
        <v>63</v>
      </c>
      <c r="E153" s="93"/>
      <c r="F153" s="87">
        <v>10</v>
      </c>
      <c r="G153" s="92" t="str">
        <f>HYPERLINK("https://www.abcfinancial.net/blog/end-of-year-planning-set-goals-and-reduce-taxes","https://www.abcfinancial.net/blog/end-of-year-planning-set-goals-and-reduce-taxes")</f>
        <v>https://www.abcfinancial.net/blog/end-of-year-planning-set-goals-and-reduce-taxes</v>
      </c>
      <c r="H153" s="87">
        <v>2</v>
      </c>
      <c r="I153" s="87">
        <v>0</v>
      </c>
      <c r="K153" s="93">
        <v>44237.051874999997</v>
      </c>
      <c r="M153" s="87" t="s">
        <v>586</v>
      </c>
    </row>
    <row r="154" spans="1:13" x14ac:dyDescent="0.2">
      <c r="A154" s="87">
        <v>165</v>
      </c>
      <c r="B154" s="87" t="s">
        <v>270</v>
      </c>
      <c r="C154" s="87">
        <v>68</v>
      </c>
      <c r="D154" s="87">
        <v>59</v>
      </c>
      <c r="E154" s="93">
        <v>44213.979826388888</v>
      </c>
      <c r="F154" s="87">
        <v>40</v>
      </c>
      <c r="G154" s="92" t="str">
        <f t="shared" ref="G154:G155" si="5">HYPERLINK("https://www.abcfinancial.net/p/business-retirement-plan-consulting","https://www.abcfinancial.net/p/business-retirement-plan-consulting")</f>
        <v>https://www.abcfinancial.net/p/business-retirement-plan-consulting</v>
      </c>
      <c r="H154" s="87">
        <v>7</v>
      </c>
      <c r="I154" s="87">
        <v>0</v>
      </c>
      <c r="J154" s="87">
        <v>20</v>
      </c>
      <c r="K154" s="93">
        <v>44239.886192129627</v>
      </c>
      <c r="M154" s="87" t="s">
        <v>638</v>
      </c>
    </row>
    <row r="155" spans="1:13" x14ac:dyDescent="0.2">
      <c r="A155" s="87">
        <v>166</v>
      </c>
      <c r="B155" s="87" t="s">
        <v>154</v>
      </c>
      <c r="C155" s="87">
        <v>67</v>
      </c>
      <c r="D155" s="87">
        <v>67</v>
      </c>
      <c r="E155" s="93"/>
      <c r="F155" s="87">
        <v>30</v>
      </c>
      <c r="G155" s="92" t="str">
        <f t="shared" si="5"/>
        <v>https://www.abcfinancial.net/p/business-retirement-plan-consulting</v>
      </c>
      <c r="H155" s="87">
        <v>38</v>
      </c>
      <c r="I155" s="87">
        <v>0</v>
      </c>
      <c r="K155" s="93">
        <v>44221.606678240743</v>
      </c>
      <c r="M155" s="87" t="s">
        <v>601</v>
      </c>
    </row>
    <row r="156" spans="1:13" x14ac:dyDescent="0.2">
      <c r="A156" s="87">
        <v>167</v>
      </c>
      <c r="B156" s="87" t="s">
        <v>189</v>
      </c>
      <c r="C156" s="87">
        <v>69</v>
      </c>
      <c r="D156" s="87">
        <v>81</v>
      </c>
      <c r="E156" s="93">
        <v>44216.327939814815</v>
      </c>
      <c r="F156" s="87">
        <v>50</v>
      </c>
      <c r="G156" s="92" t="str">
        <f>HYPERLINK("https://www.abcfinancial.net/","https://www.abcfinancial.net/")</f>
        <v>https://www.abcfinancial.net/</v>
      </c>
      <c r="H156" s="87">
        <v>12</v>
      </c>
      <c r="I156" s="87">
        <v>0</v>
      </c>
      <c r="K156" s="93">
        <v>44241.534803240742</v>
      </c>
      <c r="M156" s="87" t="s">
        <v>569</v>
      </c>
    </row>
    <row r="157" spans="1:13" x14ac:dyDescent="0.2">
      <c r="A157" s="87">
        <v>168</v>
      </c>
      <c r="B157" s="87" t="s">
        <v>135</v>
      </c>
      <c r="C157" s="87">
        <v>65</v>
      </c>
      <c r="D157" s="87">
        <v>66</v>
      </c>
      <c r="E157" s="93">
        <v>44207.870011574072</v>
      </c>
      <c r="F157" s="87">
        <v>20</v>
      </c>
      <c r="G157" s="92" t="str">
        <f>HYPERLINK("https://www.abcfinancial.net/blog/teaching-money-mindfulness-to-your-children","https://www.abcfinancial.net/blog/teaching-money-mindfulness-to-your-children")</f>
        <v>https://www.abcfinancial.net/blog/teaching-money-mindfulness-to-your-children</v>
      </c>
      <c r="H157" s="87">
        <v>8</v>
      </c>
      <c r="I157" s="87">
        <v>0</v>
      </c>
      <c r="J157" s="87">
        <v>0.15</v>
      </c>
      <c r="K157" s="93">
        <v>44233.346805555557</v>
      </c>
      <c r="M157" s="87" t="s">
        <v>594</v>
      </c>
    </row>
    <row r="158" spans="1:13" x14ac:dyDescent="0.2">
      <c r="A158" s="87">
        <v>169</v>
      </c>
      <c r="B158" s="87" t="s">
        <v>458</v>
      </c>
      <c r="C158" s="87">
        <v>65</v>
      </c>
      <c r="D158" s="87">
        <v>65</v>
      </c>
      <c r="E158" s="93"/>
      <c r="F158" s="87">
        <v>20</v>
      </c>
      <c r="G158" s="92" t="str">
        <f>HYPERLINK("https://www.abcfinancial.net/team/mike-rogers-1","https://www.abcfinancial.net/team/mike-rogers-1")</f>
        <v>https://www.abcfinancial.net/team/mike-rogers-1</v>
      </c>
      <c r="H158" s="87">
        <v>58</v>
      </c>
      <c r="I158" s="87">
        <v>0</v>
      </c>
      <c r="K158" s="93">
        <v>44238.657106481478</v>
      </c>
      <c r="M158" s="87" t="s">
        <v>594</v>
      </c>
    </row>
    <row r="159" spans="1:13" x14ac:dyDescent="0.2">
      <c r="A159" s="87">
        <v>170</v>
      </c>
      <c r="B159" s="87" t="s">
        <v>428</v>
      </c>
      <c r="C159" s="87">
        <v>64</v>
      </c>
      <c r="D159" s="87">
        <v>74</v>
      </c>
      <c r="E159" s="93">
        <v>44215.74318287037</v>
      </c>
      <c r="F159" s="87">
        <v>20</v>
      </c>
      <c r="G159" s="92" t="str">
        <f>HYPERLINK("https://www.abcfinancial.net/blog/eleven-ways-to-help-yourself-stay-sane-in-a-crazy-market","https://www.abcfinancial.net/blog/eleven-ways-to-help-yourself-stay-sane-in-a-crazy-market")</f>
        <v>https://www.abcfinancial.net/blog/eleven-ways-to-help-yourself-stay-sane-in-a-crazy-market</v>
      </c>
      <c r="H159" s="87">
        <v>0</v>
      </c>
      <c r="I159" s="87">
        <v>0</v>
      </c>
      <c r="K159" s="93">
        <v>44240.253020833334</v>
      </c>
      <c r="M159" s="87" t="s">
        <v>639</v>
      </c>
    </row>
    <row r="160" spans="1:13" x14ac:dyDescent="0.2">
      <c r="A160" s="87">
        <v>171</v>
      </c>
      <c r="B160" s="87" t="s">
        <v>324</v>
      </c>
      <c r="C160" s="87">
        <v>72</v>
      </c>
      <c r="D160" s="87">
        <v>72</v>
      </c>
      <c r="E160" s="93"/>
      <c r="F160" s="87">
        <v>70</v>
      </c>
      <c r="G160" s="92" t="str">
        <f>HYPERLINK("https://www.abcfinancial.net/","https://www.abcfinancial.net/")</f>
        <v>https://www.abcfinancial.net/</v>
      </c>
      <c r="H160" s="87">
        <v>11</v>
      </c>
      <c r="I160" s="87">
        <v>0</v>
      </c>
      <c r="K160" s="93">
        <v>44240.665335648147</v>
      </c>
      <c r="M160" s="87" t="s">
        <v>601</v>
      </c>
    </row>
    <row r="161" spans="1:13" x14ac:dyDescent="0.2">
      <c r="A161" s="87">
        <v>172</v>
      </c>
      <c r="B161" s="87" t="s">
        <v>285</v>
      </c>
      <c r="C161" s="87">
        <v>69</v>
      </c>
      <c r="D161" s="87">
        <v>69</v>
      </c>
      <c r="E161" s="93"/>
      <c r="F161" s="87">
        <v>40</v>
      </c>
      <c r="G161" s="92" t="str">
        <f>HYPERLINK("https://www.abcfinancial.net/resource-center/investment/rebalancing-your-portfolio","https://www.abcfinancial.net/resource-center/investment/rebalancing-your-portfolio")</f>
        <v>https://www.abcfinancial.net/resource-center/investment/rebalancing-your-portfolio</v>
      </c>
      <c r="H161" s="87">
        <v>26</v>
      </c>
      <c r="I161" s="87">
        <v>0</v>
      </c>
      <c r="J161" s="87">
        <v>18</v>
      </c>
      <c r="K161" s="93">
        <v>44235.087106481478</v>
      </c>
      <c r="M161" s="87" t="s">
        <v>631</v>
      </c>
    </row>
    <row r="162" spans="1:13" x14ac:dyDescent="0.2">
      <c r="A162" s="87">
        <v>173</v>
      </c>
      <c r="B162" s="87" t="s">
        <v>90</v>
      </c>
      <c r="C162" s="87">
        <v>68</v>
      </c>
      <c r="D162" s="87">
        <v>68</v>
      </c>
      <c r="E162" s="93"/>
      <c r="F162" s="87">
        <v>30</v>
      </c>
      <c r="G162" s="92" t="str">
        <f>HYPERLINK("https://www.abcfinancial.net/","https://www.abcfinancial.net/")</f>
        <v>https://www.abcfinancial.net/</v>
      </c>
      <c r="H162" s="87">
        <v>3</v>
      </c>
      <c r="I162" s="87">
        <v>0</v>
      </c>
      <c r="K162" s="93">
        <v>44240.832453703704</v>
      </c>
      <c r="M162" s="87" t="s">
        <v>586</v>
      </c>
    </row>
    <row r="163" spans="1:13" x14ac:dyDescent="0.2">
      <c r="A163" s="87">
        <v>174</v>
      </c>
      <c r="B163" s="87" t="s">
        <v>118</v>
      </c>
      <c r="C163" s="87">
        <v>74</v>
      </c>
      <c r="D163" s="87">
        <v>63</v>
      </c>
      <c r="E163" s="93">
        <v>44208.944861111115</v>
      </c>
      <c r="F163" s="87">
        <v>100</v>
      </c>
      <c r="G163" s="92" t="str">
        <f>HYPERLINK("https://www.abcfinancial.net/resource-center/investment/the-anatomy-of-an-index","https://www.abcfinancial.net/resource-center/investment/the-anatomy-of-an-index")</f>
        <v>https://www.abcfinancial.net/resource-center/investment/the-anatomy-of-an-index</v>
      </c>
      <c r="H163" s="87">
        <v>0</v>
      </c>
      <c r="I163" s="87">
        <v>0</v>
      </c>
      <c r="K163" s="93">
        <v>44235.073379629626</v>
      </c>
      <c r="M163" s="87" t="s">
        <v>583</v>
      </c>
    </row>
    <row r="164" spans="1:13" x14ac:dyDescent="0.2">
      <c r="A164" s="87">
        <v>175</v>
      </c>
      <c r="B164" s="87" t="s">
        <v>459</v>
      </c>
      <c r="C164" s="87">
        <v>65</v>
      </c>
      <c r="D164" s="87">
        <v>76</v>
      </c>
      <c r="E164" s="93">
        <v>44198.729675925926</v>
      </c>
      <c r="F164" s="87">
        <v>10</v>
      </c>
      <c r="G164" s="92" t="str">
        <f>HYPERLINK("https://www.abcfinancial.net/resource-center/investment/what-is-the-dividend-yield","https://www.abcfinancial.net/resource-center/investment/what-is-the-dividend-yield")</f>
        <v>https://www.abcfinancial.net/resource-center/investment/what-is-the-dividend-yield</v>
      </c>
      <c r="H164" s="87">
        <v>55</v>
      </c>
      <c r="I164" s="87">
        <v>0</v>
      </c>
      <c r="K164" s="93">
        <v>44224.457048611112</v>
      </c>
      <c r="M164" s="87" t="s">
        <v>640</v>
      </c>
    </row>
    <row r="165" spans="1:13" x14ac:dyDescent="0.2">
      <c r="A165" s="87">
        <v>176</v>
      </c>
      <c r="B165" s="87" t="s">
        <v>460</v>
      </c>
      <c r="C165" s="87">
        <v>68</v>
      </c>
      <c r="D165" s="87">
        <v>68</v>
      </c>
      <c r="E165" s="93"/>
      <c r="F165" s="87">
        <v>20</v>
      </c>
      <c r="G165" s="92" t="str">
        <f>HYPERLINK("https://www.abcfinancial.net/resource-center/tax/tax-rules-when-selling-your-home","https://www.abcfinancial.net/resource-center/tax/tax-rules-when-selling-your-home")</f>
        <v>https://www.abcfinancial.net/resource-center/tax/tax-rules-when-selling-your-home</v>
      </c>
      <c r="H165" s="87">
        <v>12</v>
      </c>
      <c r="I165" s="87">
        <v>0</v>
      </c>
      <c r="K165" s="93">
        <v>44224.310416666667</v>
      </c>
      <c r="M165" s="87" t="s">
        <v>582</v>
      </c>
    </row>
    <row r="166" spans="1:13" x14ac:dyDescent="0.2">
      <c r="A166" s="87">
        <v>178</v>
      </c>
      <c r="B166" s="87" t="s">
        <v>207</v>
      </c>
      <c r="C166" s="87">
        <v>71</v>
      </c>
      <c r="D166" s="87">
        <v>71</v>
      </c>
      <c r="F166" s="87">
        <v>40</v>
      </c>
      <c r="G166" s="92" t="str">
        <f>HYPERLINK("https://www.abcfinancial.net/blog/is-a-depression-coming","https://www.abcfinancial.net/blog/is-a-depression-coming")</f>
        <v>https://www.abcfinancial.net/blog/is-a-depression-coming</v>
      </c>
      <c r="H166" s="87">
        <v>54</v>
      </c>
      <c r="I166" s="87">
        <v>0</v>
      </c>
      <c r="K166" s="93">
        <v>44217.728032407409</v>
      </c>
      <c r="M166" s="87" t="s">
        <v>641</v>
      </c>
    </row>
    <row r="167" spans="1:13" x14ac:dyDescent="0.2">
      <c r="A167" s="87">
        <v>179</v>
      </c>
      <c r="B167" s="87" t="s">
        <v>461</v>
      </c>
      <c r="C167" s="87">
        <v>69</v>
      </c>
      <c r="D167" s="87">
        <v>69</v>
      </c>
      <c r="E167" s="93"/>
      <c r="F167" s="87">
        <v>20</v>
      </c>
      <c r="G167" s="92" t="str">
        <f>HYPERLINK("http://www.abcfinancial.net/resource-center/lifestyle/tips-to-prevent-marital-rift","http://www.abcfinancial.net/resource-center/lifestyle/tips-to-prevent-marital-rift")</f>
        <v>http://www.abcfinancial.net/resource-center/lifestyle/tips-to-prevent-marital-rift</v>
      </c>
      <c r="H167" s="87">
        <v>61</v>
      </c>
      <c r="I167" s="87">
        <v>0</v>
      </c>
      <c r="K167" s="93">
        <v>44225.041886574072</v>
      </c>
      <c r="M167" s="87" t="s">
        <v>582</v>
      </c>
    </row>
    <row r="168" spans="1:13" x14ac:dyDescent="0.2">
      <c r="A168" s="87">
        <v>180</v>
      </c>
      <c r="B168" s="87" t="s">
        <v>114</v>
      </c>
      <c r="C168" s="87">
        <v>73</v>
      </c>
      <c r="D168" s="87">
        <v>74</v>
      </c>
      <c r="E168" s="93">
        <v>44220.603854166664</v>
      </c>
      <c r="F168" s="87">
        <v>60</v>
      </c>
      <c r="G168" s="92" t="str">
        <f>HYPERLINK("https://www.abcfinancial.net/resource-center/insurance/insuring-your-business-with-a-buy-sell-agreement","https://www.abcfinancial.net/resource-center/insurance/insuring-your-business-with-a-buy-sell-agreement")</f>
        <v>https://www.abcfinancial.net/resource-center/insurance/insuring-your-business-with-a-buy-sell-agreement</v>
      </c>
      <c r="H168" s="87">
        <v>78</v>
      </c>
      <c r="I168" s="87">
        <v>0</v>
      </c>
      <c r="J168" s="87">
        <v>1.9</v>
      </c>
      <c r="K168" s="93">
        <v>44248.166203703702</v>
      </c>
      <c r="M168" s="87" t="s">
        <v>572</v>
      </c>
    </row>
    <row r="169" spans="1:13" x14ac:dyDescent="0.2">
      <c r="A169" s="87">
        <v>181</v>
      </c>
      <c r="B169" s="87" t="s">
        <v>251</v>
      </c>
      <c r="C169" s="87">
        <v>76</v>
      </c>
      <c r="D169" s="87">
        <v>92</v>
      </c>
      <c r="E169" s="93">
        <v>44197.242812500001</v>
      </c>
      <c r="F169" s="87">
        <v>100</v>
      </c>
      <c r="G169" s="92" t="str">
        <f>HYPERLINK("https://www.abcfinancial.net/blog/abc-financial-acquires-true-north-capital-alliance","https://www.abcfinancial.net/blog/abc-financial-acquires-true-north-capital-alliance")</f>
        <v>https://www.abcfinancial.net/blog/abc-financial-acquires-true-north-capital-alliance</v>
      </c>
      <c r="H169" s="87">
        <v>0</v>
      </c>
      <c r="I169" s="87">
        <v>0</v>
      </c>
      <c r="K169" s="93">
        <v>44223.990972222222</v>
      </c>
      <c r="M169" s="87" t="s">
        <v>572</v>
      </c>
    </row>
    <row r="170" spans="1:13" x14ac:dyDescent="0.2">
      <c r="A170" s="87">
        <v>182</v>
      </c>
      <c r="B170" s="87" t="s">
        <v>311</v>
      </c>
      <c r="C170" s="87">
        <v>70</v>
      </c>
      <c r="D170" s="87">
        <v>83</v>
      </c>
      <c r="E170" s="93">
        <v>44204.861747685187</v>
      </c>
      <c r="F170" s="87">
        <v>20</v>
      </c>
      <c r="G170" s="92" t="str">
        <f>HYPERLINK("https://www.abcfinancial.net/team/kirsten-davidson","https://www.abcfinancial.net/team/kirsten-davidson")</f>
        <v>https://www.abcfinancial.net/team/kirsten-davidson</v>
      </c>
      <c r="H170" s="87">
        <v>0</v>
      </c>
      <c r="I170" s="87">
        <v>0</v>
      </c>
      <c r="K170" s="93">
        <v>44230.318981481483</v>
      </c>
      <c r="M170" s="87" t="s">
        <v>642</v>
      </c>
    </row>
    <row r="171" spans="1:13" x14ac:dyDescent="0.2">
      <c r="A171" s="87">
        <v>183</v>
      </c>
      <c r="B171" s="87" t="s">
        <v>252</v>
      </c>
      <c r="C171" s="87">
        <v>74</v>
      </c>
      <c r="D171" s="87">
        <v>65</v>
      </c>
      <c r="E171" s="93">
        <v>44208.296203703707</v>
      </c>
      <c r="F171" s="87">
        <v>60</v>
      </c>
      <c r="G171" s="92" t="str">
        <f>HYPERLINK("http://www.abcfinancial.net/resource-center/money/spotting-credit-trouble","http://www.abcfinancial.net/resource-center/money/spotting-credit-trouble")</f>
        <v>http://www.abcfinancial.net/resource-center/money/spotting-credit-trouble</v>
      </c>
      <c r="H171" s="87">
        <v>6</v>
      </c>
      <c r="I171" s="87">
        <v>0</v>
      </c>
      <c r="K171" s="93">
        <v>44234.89271990741</v>
      </c>
    </row>
    <row r="172" spans="1:13" x14ac:dyDescent="0.2">
      <c r="A172" s="87">
        <v>184</v>
      </c>
      <c r="B172" s="87" t="s">
        <v>462</v>
      </c>
      <c r="C172" s="87">
        <v>70</v>
      </c>
      <c r="D172" s="87">
        <v>63</v>
      </c>
      <c r="E172" s="93">
        <v>44220.183958333335</v>
      </c>
      <c r="F172" s="87">
        <v>20</v>
      </c>
      <c r="G172" s="92" t="str">
        <f>HYPERLINK("https://www.abcfinancial.net/team/robert-withers-1","https://www.abcfinancial.net/team/robert-withers-1")</f>
        <v>https://www.abcfinancial.net/team/robert-withers-1</v>
      </c>
      <c r="H172" s="87">
        <v>0</v>
      </c>
      <c r="I172" s="87">
        <v>0</v>
      </c>
      <c r="K172" s="93">
        <v>44248.202546296299</v>
      </c>
      <c r="M172" s="87" t="s">
        <v>591</v>
      </c>
    </row>
    <row r="173" spans="1:13" x14ac:dyDescent="0.2">
      <c r="A173" s="87">
        <v>185</v>
      </c>
      <c r="B173" s="87" t="s">
        <v>79</v>
      </c>
      <c r="C173" s="87">
        <v>82</v>
      </c>
      <c r="D173" s="87">
        <v>83</v>
      </c>
      <c r="E173" s="93">
        <v>44237.842731481483</v>
      </c>
      <c r="F173" s="87">
        <v>1200</v>
      </c>
      <c r="G173" s="92" t="str">
        <f>HYPERLINK("https://www.abcfinancial.net/team/jeff-thompson-1","https://www.abcfinancial.net/team/jeff-thompson-1")</f>
        <v>https://www.abcfinancial.net/team/jeff-thompson-1</v>
      </c>
      <c r="H173" s="87">
        <v>12</v>
      </c>
      <c r="I173" s="87">
        <v>0</v>
      </c>
      <c r="J173" s="87">
        <v>0.35</v>
      </c>
      <c r="K173" s="93">
        <v>44246.817997685182</v>
      </c>
      <c r="M173" s="87" t="s">
        <v>635</v>
      </c>
    </row>
    <row r="174" spans="1:13" x14ac:dyDescent="0.2">
      <c r="A174" s="87">
        <v>186</v>
      </c>
      <c r="B174" s="87" t="s">
        <v>121</v>
      </c>
      <c r="C174" s="87">
        <v>75</v>
      </c>
      <c r="D174" s="87">
        <v>75</v>
      </c>
      <c r="E174" s="93"/>
      <c r="F174" s="87">
        <v>150</v>
      </c>
      <c r="G174" s="92" t="str">
        <f>HYPERLINK("https://www.abcfinancial.net/blog/when-will-the-recession-officially-start","https://www.abcfinancial.net/blog/when-will-the-recession-officially-start")</f>
        <v>https://www.abcfinancial.net/blog/when-will-the-recession-officially-start</v>
      </c>
      <c r="H174" s="87">
        <v>73</v>
      </c>
      <c r="I174" s="87">
        <v>0</v>
      </c>
      <c r="K174" s="93">
        <v>44224.427118055559</v>
      </c>
      <c r="M174" s="87" t="s">
        <v>606</v>
      </c>
    </row>
    <row r="175" spans="1:13" x14ac:dyDescent="0.2">
      <c r="A175" s="87">
        <v>187</v>
      </c>
      <c r="B175" s="87" t="s">
        <v>113</v>
      </c>
      <c r="C175" s="87">
        <v>81</v>
      </c>
      <c r="D175" s="87">
        <v>81</v>
      </c>
      <c r="E175" s="93"/>
      <c r="F175" s="87">
        <v>250</v>
      </c>
      <c r="G175" s="92" t="str">
        <f>HYPERLINK("https://www.abcfinancial.net/","https://www.abcfinancial.net/")</f>
        <v>https://www.abcfinancial.net/</v>
      </c>
      <c r="H175" s="87">
        <v>0</v>
      </c>
      <c r="I175" s="87">
        <v>0</v>
      </c>
      <c r="J175" s="87">
        <v>0.5</v>
      </c>
      <c r="K175" s="93">
        <v>44226.955578703702</v>
      </c>
      <c r="M175" s="87" t="s">
        <v>584</v>
      </c>
    </row>
    <row r="176" spans="1:13" x14ac:dyDescent="0.2">
      <c r="A176" s="87">
        <v>188</v>
      </c>
      <c r="B176" s="87" t="s">
        <v>535</v>
      </c>
      <c r="C176" s="87">
        <v>69</v>
      </c>
      <c r="D176" s="87">
        <v>69</v>
      </c>
      <c r="E176" s="93"/>
      <c r="F176" s="87">
        <v>10</v>
      </c>
      <c r="G176" s="92" t="str">
        <f>HYPERLINK("https://www.abcfinancial.net/blog/evaluating-investment-risk","https://www.abcfinancial.net/blog/evaluating-investment-risk")</f>
        <v>https://www.abcfinancial.net/blog/evaluating-investment-risk</v>
      </c>
      <c r="H176" s="87">
        <v>24</v>
      </c>
      <c r="I176" s="87">
        <v>0</v>
      </c>
      <c r="K176" s="93">
        <v>44237.621689814812</v>
      </c>
      <c r="M176" s="87" t="s">
        <v>631</v>
      </c>
    </row>
    <row r="177" spans="1:13" x14ac:dyDescent="0.2">
      <c r="A177" s="87">
        <v>189</v>
      </c>
      <c r="B177" s="94" t="s">
        <v>298</v>
      </c>
      <c r="C177" s="87">
        <v>76</v>
      </c>
      <c r="D177" s="87">
        <v>76</v>
      </c>
      <c r="F177" s="87">
        <v>50</v>
      </c>
      <c r="G177" s="92" t="str">
        <f>HYPERLINK("https://www.abcfinancial.net/","https://www.abcfinancial.net/")</f>
        <v>https://www.abcfinancial.net/</v>
      </c>
      <c r="H177" s="87">
        <v>62</v>
      </c>
      <c r="I177" s="87">
        <v>0</v>
      </c>
      <c r="K177" s="93">
        <v>44246.530555555553</v>
      </c>
      <c r="M177" s="87" t="s">
        <v>572</v>
      </c>
    </row>
    <row r="178" spans="1:13" x14ac:dyDescent="0.2">
      <c r="A178" s="87">
        <v>190</v>
      </c>
      <c r="B178" s="87" t="s">
        <v>366</v>
      </c>
      <c r="C178" s="87">
        <v>73</v>
      </c>
      <c r="D178" s="87">
        <v>61</v>
      </c>
      <c r="E178" s="93">
        <v>44199.216608796298</v>
      </c>
      <c r="F178" s="87">
        <v>30</v>
      </c>
      <c r="G178" s="92" t="str">
        <f>HYPERLINK("https://www.abcfinancial.net/blog/socially-responsible-investing","https://www.abcfinancial.net/blog/socially-responsible-investing")</f>
        <v>https://www.abcfinancial.net/blog/socially-responsible-investing</v>
      </c>
      <c r="H178" s="87">
        <v>51</v>
      </c>
      <c r="I178" s="87">
        <v>0</v>
      </c>
      <c r="J178" s="87">
        <v>12</v>
      </c>
      <c r="K178" s="93">
        <v>44225.527546296296</v>
      </c>
      <c r="M178" s="87" t="s">
        <v>588</v>
      </c>
    </row>
    <row r="179" spans="1:13" x14ac:dyDescent="0.2">
      <c r="A179" s="87">
        <v>191</v>
      </c>
      <c r="B179" s="87" t="s">
        <v>367</v>
      </c>
      <c r="C179" s="87">
        <v>73</v>
      </c>
      <c r="D179" s="87">
        <v>65</v>
      </c>
      <c r="E179" s="93">
        <v>44217.949756944443</v>
      </c>
      <c r="F179" s="87">
        <v>30</v>
      </c>
      <c r="G179" s="92" t="str">
        <f>HYPERLINK("https://www.abcfinancial.net/blog/abc-financial-acquires-true-north-capital-alliance","https://www.abcfinancial.net/blog/abc-financial-acquires-true-north-capital-alliance")</f>
        <v>https://www.abcfinancial.net/blog/abc-financial-acquires-true-north-capital-alliance</v>
      </c>
      <c r="H179" s="87">
        <v>0</v>
      </c>
      <c r="I179" s="87">
        <v>0</v>
      </c>
      <c r="K179" s="93">
        <v>44245.204282407409</v>
      </c>
      <c r="M179" s="87" t="s">
        <v>574</v>
      </c>
    </row>
    <row r="180" spans="1:13" x14ac:dyDescent="0.2">
      <c r="A180" s="87">
        <v>192</v>
      </c>
      <c r="B180" s="87" t="s">
        <v>136</v>
      </c>
      <c r="C180" s="87">
        <v>83</v>
      </c>
      <c r="D180" s="87">
        <v>60</v>
      </c>
      <c r="E180" s="93">
        <v>44213.668923611112</v>
      </c>
      <c r="F180" s="87">
        <v>250</v>
      </c>
      <c r="G180" s="92" t="str">
        <f>HYPERLINK("https://www.abcfinancial.net/blog/evaluating-investment-risk","https://www.abcfinancial.net/blog/evaluating-investment-risk")</f>
        <v>https://www.abcfinancial.net/blog/evaluating-investment-risk</v>
      </c>
      <c r="H180" s="87">
        <v>0</v>
      </c>
      <c r="I180" s="87">
        <v>0</v>
      </c>
      <c r="K180" s="93">
        <v>44239.617777777778</v>
      </c>
    </row>
    <row r="181" spans="1:13" x14ac:dyDescent="0.2">
      <c r="A181" s="87">
        <v>193</v>
      </c>
      <c r="B181" s="87" t="s">
        <v>271</v>
      </c>
      <c r="C181" s="87">
        <v>73</v>
      </c>
      <c r="D181" s="87">
        <v>74</v>
      </c>
      <c r="E181" s="93">
        <v>44208.957673611112</v>
      </c>
      <c r="F181" s="87">
        <v>20</v>
      </c>
      <c r="G181" s="92" t="str">
        <f>HYPERLINK("https://www.abcfinancial.net/blog/abc-financial-acquires-true-north-capital-alliance","https://www.abcfinancial.net/blog/abc-financial-acquires-true-north-capital-alliance")</f>
        <v>https://www.abcfinancial.net/blog/abc-financial-acquires-true-north-capital-alliance</v>
      </c>
      <c r="H181" s="87">
        <v>1</v>
      </c>
      <c r="I181" s="87">
        <v>0</v>
      </c>
      <c r="K181" s="93">
        <v>44235.101736111108</v>
      </c>
      <c r="M181" s="87" t="s">
        <v>591</v>
      </c>
    </row>
    <row r="182" spans="1:13" x14ac:dyDescent="0.2">
      <c r="A182" s="87">
        <v>194</v>
      </c>
      <c r="B182" s="87" t="s">
        <v>392</v>
      </c>
      <c r="C182" s="87">
        <v>74</v>
      </c>
      <c r="D182" s="87">
        <v>74</v>
      </c>
      <c r="E182" s="93"/>
      <c r="F182" s="87">
        <v>30</v>
      </c>
      <c r="G182" s="92" t="str">
        <f>HYPERLINK("http://www.abcfinancial.net/resource-center/money/spotting-credit-trouble","http://www.abcfinancial.net/resource-center/money/spotting-credit-trouble")</f>
        <v>http://www.abcfinancial.net/resource-center/money/spotting-credit-trouble</v>
      </c>
      <c r="H182" s="87">
        <v>40</v>
      </c>
      <c r="I182" s="87">
        <v>0</v>
      </c>
      <c r="J182" s="87">
        <v>7</v>
      </c>
      <c r="K182" s="93">
        <v>44237.808622685188</v>
      </c>
      <c r="M182" s="87" t="s">
        <v>643</v>
      </c>
    </row>
    <row r="183" spans="1:13" x14ac:dyDescent="0.2">
      <c r="A183" s="87">
        <v>195</v>
      </c>
      <c r="B183" s="87" t="s">
        <v>160</v>
      </c>
      <c r="C183" s="87">
        <v>84</v>
      </c>
      <c r="D183" s="87">
        <v>84</v>
      </c>
      <c r="E183" s="93"/>
      <c r="F183" s="87">
        <v>200</v>
      </c>
      <c r="G183" s="92" t="str">
        <f>HYPERLINK("https://www.abcfinancial.net/blog/teaching-money-mindfulness-to-your-children","https://www.abcfinancial.net/blog/teaching-money-mindfulness-to-your-children")</f>
        <v>https://www.abcfinancial.net/blog/teaching-money-mindfulness-to-your-children</v>
      </c>
      <c r="H183" s="87">
        <v>0</v>
      </c>
      <c r="I183" s="87">
        <v>0</v>
      </c>
      <c r="J183" s="87">
        <v>11</v>
      </c>
      <c r="K183" s="93">
        <v>44213.571620370371</v>
      </c>
      <c r="M183" s="87" t="s">
        <v>603</v>
      </c>
    </row>
    <row r="184" spans="1:13" x14ac:dyDescent="0.2">
      <c r="A184" s="87">
        <v>196</v>
      </c>
      <c r="B184" s="87" t="s">
        <v>86</v>
      </c>
      <c r="C184" s="87">
        <v>79</v>
      </c>
      <c r="D184" s="87">
        <v>79</v>
      </c>
      <c r="E184" s="93"/>
      <c r="F184" s="87">
        <v>100</v>
      </c>
      <c r="G184" s="92" t="str">
        <f>HYPERLINK("https://www.abcfinancial.net/resource-center/retirement/social-security-the-64000-dollar-question","https://www.abcfinancial.net/resource-center/retirement/social-security-the-64000-dollar-question")</f>
        <v>https://www.abcfinancial.net/resource-center/retirement/social-security-the-64000-dollar-question</v>
      </c>
      <c r="H184" s="87">
        <v>45</v>
      </c>
      <c r="I184" s="87">
        <v>0</v>
      </c>
      <c r="J184" s="87">
        <v>0.45</v>
      </c>
      <c r="K184" s="93">
        <v>44228.58452546296</v>
      </c>
      <c r="M184" s="87" t="s">
        <v>613</v>
      </c>
    </row>
    <row r="185" spans="1:13" x14ac:dyDescent="0.2">
      <c r="A185" s="87">
        <v>197</v>
      </c>
      <c r="B185" s="87" t="s">
        <v>279</v>
      </c>
      <c r="C185" s="87">
        <v>79</v>
      </c>
      <c r="D185" s="87">
        <v>80</v>
      </c>
      <c r="E185" s="93">
        <v>44199.034236111111</v>
      </c>
      <c r="F185" s="87">
        <v>70</v>
      </c>
      <c r="G185" s="92" t="str">
        <f>HYPERLINK("https://www.abcfinancial.net/resource-center/investment/global-vs-international-whats-the-difference","https://www.abcfinancial.net/resource-center/investment/global-vs-international-whats-the-difference")</f>
        <v>https://www.abcfinancial.net/resource-center/investment/global-vs-international-whats-the-difference</v>
      </c>
      <c r="H185" s="87">
        <v>4</v>
      </c>
      <c r="I185" s="87">
        <v>0</v>
      </c>
      <c r="J185" s="87">
        <v>13</v>
      </c>
      <c r="K185" s="93">
        <v>44225.186400462961</v>
      </c>
      <c r="M185" s="87" t="s">
        <v>600</v>
      </c>
    </row>
    <row r="186" spans="1:13" x14ac:dyDescent="0.2">
      <c r="A186" s="87">
        <v>198</v>
      </c>
      <c r="B186" s="87" t="s">
        <v>463</v>
      </c>
      <c r="C186" s="87">
        <v>73</v>
      </c>
      <c r="D186" s="87">
        <v>46</v>
      </c>
      <c r="E186" s="93">
        <v>44210.287245370368</v>
      </c>
      <c r="F186" s="87">
        <v>20</v>
      </c>
      <c r="G186" s="92" t="str">
        <f>HYPERLINK("https://www.abcfinancial.net/","https://www.abcfinancial.net/")</f>
        <v>https://www.abcfinancial.net/</v>
      </c>
      <c r="H186" s="87">
        <v>2</v>
      </c>
      <c r="I186" s="87">
        <v>0</v>
      </c>
      <c r="J186" s="87">
        <v>5</v>
      </c>
      <c r="K186" s="93">
        <v>44237.579965277779</v>
      </c>
      <c r="M186" s="87" t="s">
        <v>591</v>
      </c>
    </row>
    <row r="187" spans="1:13" x14ac:dyDescent="0.2">
      <c r="A187" s="87">
        <v>199</v>
      </c>
      <c r="B187" s="87" t="s">
        <v>325</v>
      </c>
      <c r="C187" s="87">
        <v>76</v>
      </c>
      <c r="D187" s="87">
        <v>76</v>
      </c>
      <c r="E187" s="93"/>
      <c r="F187" s="87">
        <v>30</v>
      </c>
      <c r="G187" s="92" t="str">
        <f>HYPERLINK("https://www.abcfinancial.net/resource-center/retirement/how-to-retire-early","https://www.abcfinancial.net/resource-center/retirement/how-to-retire-early")</f>
        <v>https://www.abcfinancial.net/resource-center/retirement/how-to-retire-early</v>
      </c>
      <c r="H187" s="87">
        <v>21</v>
      </c>
      <c r="I187" s="87">
        <v>0</v>
      </c>
      <c r="K187" s="93">
        <v>44238.608541666668</v>
      </c>
      <c r="M187" s="87" t="s">
        <v>591</v>
      </c>
    </row>
    <row r="188" spans="1:13" x14ac:dyDescent="0.2">
      <c r="A188" s="87">
        <v>200</v>
      </c>
      <c r="B188" s="87" t="s">
        <v>177</v>
      </c>
      <c r="C188" s="87">
        <v>81</v>
      </c>
      <c r="D188" s="87">
        <v>81</v>
      </c>
      <c r="E188" s="93"/>
      <c r="F188" s="87">
        <v>90</v>
      </c>
      <c r="G188" s="92" t="str">
        <f>HYPERLINK("https://www.abcfinancial.net/","https://www.abcfinancial.net/")</f>
        <v>https://www.abcfinancial.net/</v>
      </c>
      <c r="H188" s="87">
        <v>2</v>
      </c>
      <c r="I188" s="87">
        <v>0</v>
      </c>
      <c r="J188" s="87">
        <v>19</v>
      </c>
      <c r="K188" s="93">
        <v>44246.645127314812</v>
      </c>
      <c r="M188" s="87" t="s">
        <v>581</v>
      </c>
    </row>
    <row r="189" spans="1:13" x14ac:dyDescent="0.2">
      <c r="A189" s="87">
        <v>202</v>
      </c>
      <c r="B189" s="87" t="s">
        <v>536</v>
      </c>
      <c r="C189" s="87">
        <v>75</v>
      </c>
      <c r="D189" s="87">
        <v>85</v>
      </c>
      <c r="E189" s="93">
        <v>44198.831817129627</v>
      </c>
      <c r="F189" s="87">
        <v>20</v>
      </c>
      <c r="G189" s="92" t="str">
        <f>HYPERLINK("https://www.abcfinancial.net/blog/socially-responsible-investing","https://www.abcfinancial.net/blog/socially-responsible-investing")</f>
        <v>https://www.abcfinancial.net/blog/socially-responsible-investing</v>
      </c>
      <c r="H189" s="87">
        <v>20</v>
      </c>
      <c r="I189" s="87">
        <v>0</v>
      </c>
      <c r="K189" s="93">
        <v>44224.864305555559</v>
      </c>
      <c r="M189" s="87" t="s">
        <v>572</v>
      </c>
    </row>
    <row r="190" spans="1:13" x14ac:dyDescent="0.2">
      <c r="A190" s="87">
        <v>203</v>
      </c>
      <c r="B190" s="87" t="s">
        <v>144</v>
      </c>
      <c r="C190" s="87">
        <v>82</v>
      </c>
      <c r="D190" s="87">
        <v>82</v>
      </c>
      <c r="F190" s="87">
        <v>100</v>
      </c>
      <c r="G190" s="92" t="str">
        <f>HYPERLINK("https://www.abcfinancial.net/events","https://www.abcfinancial.net/events")</f>
        <v>https://www.abcfinancial.net/events</v>
      </c>
      <c r="H190" s="87">
        <v>23</v>
      </c>
      <c r="I190" s="87">
        <v>0</v>
      </c>
      <c r="K190" s="93">
        <v>44243.734907407408</v>
      </c>
      <c r="M190" s="87" t="s">
        <v>572</v>
      </c>
    </row>
    <row r="191" spans="1:13" x14ac:dyDescent="0.2">
      <c r="A191" s="87">
        <v>204</v>
      </c>
      <c r="B191" s="87" t="s">
        <v>242</v>
      </c>
      <c r="C191" s="87">
        <v>82</v>
      </c>
      <c r="D191" s="87">
        <v>56</v>
      </c>
      <c r="E191" s="93">
        <v>44194.243101851855</v>
      </c>
      <c r="F191" s="87">
        <v>90</v>
      </c>
      <c r="G191" s="92" t="str">
        <f>HYPERLINK("https://www.abcfinancial.net/resource-center/tax/how-income-taxes-work","https://www.abcfinancial.net/resource-center/tax/how-income-taxes-work")</f>
        <v>https://www.abcfinancial.net/resource-center/tax/how-income-taxes-work</v>
      </c>
      <c r="H191" s="87">
        <v>54</v>
      </c>
      <c r="I191" s="87">
        <v>0</v>
      </c>
      <c r="K191" s="93">
        <v>44221.588125000002</v>
      </c>
      <c r="M191" s="87" t="s">
        <v>644</v>
      </c>
    </row>
    <row r="192" spans="1:13" x14ac:dyDescent="0.2">
      <c r="A192" s="87">
        <v>205</v>
      </c>
      <c r="B192" s="87" t="s">
        <v>429</v>
      </c>
      <c r="C192" s="87">
        <v>78</v>
      </c>
      <c r="D192" s="87">
        <v>78</v>
      </c>
      <c r="F192" s="87">
        <v>30</v>
      </c>
      <c r="G192" s="92" t="str">
        <f>HYPERLINK("https://www.abcfinancial.net/blog/what-gen-xers-millennials-and-baby-boomers-need-to-know-about-financial-p","https://www.abcfinancial.net/blog/what-gen-xers-millennials-and-baby-boomers-need-to-know-about-financial-p")</f>
        <v>https://www.abcfinancial.net/blog/what-gen-xers-millennials-and-baby-boomers-need-to-know-about-financial-p</v>
      </c>
      <c r="H192" s="87">
        <v>71</v>
      </c>
      <c r="I192" s="87">
        <v>0</v>
      </c>
      <c r="K192" s="93">
        <v>44240.215648148151</v>
      </c>
      <c r="M192" s="87" t="s">
        <v>627</v>
      </c>
    </row>
    <row r="193" spans="1:13" x14ac:dyDescent="0.2">
      <c r="A193" s="87">
        <v>206</v>
      </c>
      <c r="B193" s="87" t="s">
        <v>339</v>
      </c>
      <c r="C193" s="87">
        <v>77</v>
      </c>
      <c r="D193" s="87">
        <v>85</v>
      </c>
      <c r="E193" s="93">
        <v>44199.144687499997</v>
      </c>
      <c r="F193" s="87">
        <v>30</v>
      </c>
      <c r="G193" s="92" t="str">
        <f>HYPERLINK("https://www.abcfinancial.net/resource-center/tax/how-income-taxes-work","https://www.abcfinancial.net/resource-center/tax/how-income-taxes-work")</f>
        <v>https://www.abcfinancial.net/resource-center/tax/how-income-taxes-work</v>
      </c>
      <c r="H193" s="87">
        <v>58</v>
      </c>
      <c r="I193" s="87">
        <v>0</v>
      </c>
      <c r="K193" s="93">
        <v>44225.824074074073</v>
      </c>
      <c r="M193" s="87" t="s">
        <v>612</v>
      </c>
    </row>
    <row r="194" spans="1:13" x14ac:dyDescent="0.2">
      <c r="A194" s="87">
        <v>207</v>
      </c>
      <c r="B194" s="87" t="s">
        <v>186</v>
      </c>
      <c r="C194" s="87">
        <v>84</v>
      </c>
      <c r="D194" s="87">
        <v>84</v>
      </c>
      <c r="E194" s="93"/>
      <c r="F194" s="87">
        <v>100</v>
      </c>
      <c r="G194" s="92" t="str">
        <f>HYPERLINK("https://www.abcfinancial.net/team","https://www.abcfinancial.net/team")</f>
        <v>https://www.abcfinancial.net/team</v>
      </c>
      <c r="H194" s="87">
        <v>0</v>
      </c>
      <c r="I194" s="87">
        <v>0</v>
      </c>
      <c r="J194" s="87">
        <v>0.25</v>
      </c>
      <c r="K194" s="93">
        <v>44229.477407407408</v>
      </c>
      <c r="M194" s="87" t="s">
        <v>571</v>
      </c>
    </row>
    <row r="195" spans="1:13" x14ac:dyDescent="0.2">
      <c r="A195" s="87">
        <v>208</v>
      </c>
      <c r="B195" s="87" t="s">
        <v>368</v>
      </c>
      <c r="C195" s="87">
        <v>80</v>
      </c>
      <c r="D195" s="87">
        <v>75</v>
      </c>
      <c r="E195" s="93">
        <v>44219.757025462961</v>
      </c>
      <c r="F195" s="87">
        <v>40</v>
      </c>
      <c r="G195" s="92" t="str">
        <f>HYPERLINK("https://www.abcfinancial.net/tax-planning-strategies","https://www.abcfinancial.net/tax-planning-strategies")</f>
        <v>https://www.abcfinancial.net/tax-planning-strategies</v>
      </c>
      <c r="H195" s="87">
        <v>34</v>
      </c>
      <c r="I195" s="87">
        <v>0</v>
      </c>
      <c r="J195" s="87">
        <v>8</v>
      </c>
      <c r="K195" s="93">
        <v>44247.026122685187</v>
      </c>
      <c r="M195" s="87" t="s">
        <v>645</v>
      </c>
    </row>
    <row r="196" spans="1:13" x14ac:dyDescent="0.2">
      <c r="A196" s="87">
        <v>209</v>
      </c>
      <c r="B196" s="87" t="s">
        <v>464</v>
      </c>
      <c r="C196" s="87">
        <v>76</v>
      </c>
      <c r="D196" s="87">
        <v>76</v>
      </c>
      <c r="E196" s="93"/>
      <c r="F196" s="87">
        <v>10</v>
      </c>
      <c r="G196" s="92" t="str">
        <f>HYPERLINK("https://www.abcfinancial.net/team/dan-mohoney-1","https://www.abcfinancial.net/team/dan-mohoney-1")</f>
        <v>https://www.abcfinancial.net/team/dan-mohoney-1</v>
      </c>
      <c r="H196" s="87">
        <v>0</v>
      </c>
      <c r="I196" s="87">
        <v>0</v>
      </c>
      <c r="J196" s="87">
        <v>0.9</v>
      </c>
      <c r="K196" s="93">
        <v>44230.638773148145</v>
      </c>
      <c r="M196" s="87" t="s">
        <v>601</v>
      </c>
    </row>
    <row r="197" spans="1:13" x14ac:dyDescent="0.2">
      <c r="A197" s="87">
        <v>210</v>
      </c>
      <c r="B197" s="87" t="s">
        <v>69</v>
      </c>
      <c r="C197" s="87">
        <v>84</v>
      </c>
      <c r="D197" s="87">
        <v>84</v>
      </c>
      <c r="E197" s="93"/>
      <c r="F197" s="87">
        <v>100</v>
      </c>
      <c r="G197" s="92" t="str">
        <f>HYPERLINK("https://www.abcfinancial.net/resource-center/investment/investment-risk-no-ones-heard-of","https://www.abcfinancial.net/resource-center/investment/investment-risk-no-ones-heard-of")</f>
        <v>https://www.abcfinancial.net/resource-center/investment/investment-risk-no-ones-heard-of</v>
      </c>
      <c r="H197" s="87">
        <v>45</v>
      </c>
      <c r="I197" s="87">
        <v>0</v>
      </c>
      <c r="K197" s="93">
        <v>44227.788773148146</v>
      </c>
    </row>
    <row r="198" spans="1:13" x14ac:dyDescent="0.2">
      <c r="A198" s="87">
        <v>211</v>
      </c>
      <c r="B198" s="87" t="s">
        <v>253</v>
      </c>
      <c r="C198" s="87">
        <v>80</v>
      </c>
      <c r="D198" s="87">
        <v>80</v>
      </c>
      <c r="E198" s="93"/>
      <c r="F198" s="87">
        <v>80</v>
      </c>
      <c r="G198" s="92" t="str">
        <f>HYPERLINK("https://www.abcfinancial.net/resource-center/money/life-and-death-of-a-20-dollar-bill","https://www.abcfinancial.net/resource-center/money/life-and-death-of-a-20-dollar-bill")</f>
        <v>https://www.abcfinancial.net/resource-center/money/life-and-death-of-a-20-dollar-bill</v>
      </c>
      <c r="H198" s="87">
        <v>56</v>
      </c>
      <c r="I198" s="87">
        <v>0</v>
      </c>
      <c r="J198" s="87">
        <v>0.02</v>
      </c>
      <c r="K198" s="93">
        <v>44238.637546296297</v>
      </c>
      <c r="M198" s="87" t="s">
        <v>594</v>
      </c>
    </row>
    <row r="199" spans="1:13" x14ac:dyDescent="0.2">
      <c r="A199" s="87">
        <v>212</v>
      </c>
      <c r="B199" s="87" t="s">
        <v>369</v>
      </c>
      <c r="C199" s="87">
        <v>77</v>
      </c>
      <c r="D199" s="87">
        <v>61</v>
      </c>
      <c r="E199" s="93">
        <v>44145.462581018517</v>
      </c>
      <c r="F199" s="87">
        <v>20</v>
      </c>
      <c r="G199" s="92" t="str">
        <f>HYPERLINK("https://www.abcfinancial.net/","https://www.abcfinancial.net/")</f>
        <v>https://www.abcfinancial.net/</v>
      </c>
      <c r="H199" s="87">
        <v>0</v>
      </c>
      <c r="I199" s="87">
        <v>0</v>
      </c>
      <c r="K199" s="93">
        <v>44224.911215277774</v>
      </c>
      <c r="M199" s="87" t="s">
        <v>571</v>
      </c>
    </row>
    <row r="200" spans="1:13" x14ac:dyDescent="0.2">
      <c r="A200" s="87">
        <v>213</v>
      </c>
      <c r="B200" s="87" t="s">
        <v>465</v>
      </c>
      <c r="C200" s="87">
        <v>78</v>
      </c>
      <c r="D200" s="87">
        <v>82</v>
      </c>
      <c r="E200" s="93">
        <v>44219.096319444441</v>
      </c>
      <c r="F200" s="87">
        <v>20</v>
      </c>
      <c r="G200" s="92" t="str">
        <f>HYPERLINK("https://www.abcfinancial.net/team/nick-andresen-1","https://www.abcfinancial.net/team/nick-andresen-1")</f>
        <v>https://www.abcfinancial.net/team/nick-andresen-1</v>
      </c>
      <c r="H200" s="87">
        <v>7</v>
      </c>
      <c r="I200" s="87">
        <v>0</v>
      </c>
      <c r="K200" s="93">
        <v>44247.015706018516</v>
      </c>
    </row>
    <row r="201" spans="1:13" x14ac:dyDescent="0.2">
      <c r="A201" s="87">
        <v>214</v>
      </c>
      <c r="B201" s="87" t="s">
        <v>312</v>
      </c>
      <c r="C201" s="87">
        <v>78</v>
      </c>
      <c r="D201" s="87">
        <v>78</v>
      </c>
      <c r="E201" s="93"/>
      <c r="F201" s="87">
        <v>20</v>
      </c>
      <c r="G201" s="92" t="str">
        <f>HYPERLINK("https://www.abcfinancial.net/","https://www.abcfinancial.net/")</f>
        <v>https://www.abcfinancial.net/</v>
      </c>
      <c r="H201" s="87">
        <v>20</v>
      </c>
      <c r="I201" s="87">
        <v>0</v>
      </c>
      <c r="J201" s="87">
        <v>1.5</v>
      </c>
      <c r="K201" s="93">
        <v>44240.976111111115</v>
      </c>
      <c r="M201" s="87" t="s">
        <v>646</v>
      </c>
    </row>
    <row r="202" spans="1:13" x14ac:dyDescent="0.2">
      <c r="A202" s="87">
        <v>215</v>
      </c>
      <c r="B202" s="87" t="s">
        <v>393</v>
      </c>
      <c r="C202" s="87">
        <v>74</v>
      </c>
      <c r="D202" s="87">
        <v>74</v>
      </c>
      <c r="E202" s="93"/>
      <c r="F202" s="87">
        <v>20</v>
      </c>
      <c r="G202" s="92" t="str">
        <f>HYPERLINK("https://www.abcfinancial.net/blog/how-our-economy-can-bounce-back","https://www.abcfinancial.net/blog/how-our-economy-can-bounce-back")</f>
        <v>https://www.abcfinancial.net/blog/how-our-economy-can-bounce-back</v>
      </c>
      <c r="H202" s="87">
        <v>0</v>
      </c>
      <c r="I202" s="87">
        <v>0</v>
      </c>
      <c r="K202" s="93">
        <v>44225.540555555555</v>
      </c>
      <c r="M202" s="87" t="s">
        <v>625</v>
      </c>
    </row>
    <row r="203" spans="1:13" x14ac:dyDescent="0.2">
      <c r="A203" s="87">
        <v>216</v>
      </c>
      <c r="B203" s="87" t="s">
        <v>370</v>
      </c>
      <c r="C203" s="87">
        <v>82</v>
      </c>
      <c r="D203" s="87">
        <v>82</v>
      </c>
      <c r="E203" s="93"/>
      <c r="F203" s="87">
        <v>50</v>
      </c>
      <c r="G203" s="92" t="str">
        <f>HYPERLINK("https://www.abcfinancial.net/team/mike-rogers-1","https://www.abcfinancial.net/team/mike-rogers-1")</f>
        <v>https://www.abcfinancial.net/team/mike-rogers-1</v>
      </c>
      <c r="H203" s="87">
        <v>0</v>
      </c>
      <c r="I203" s="87">
        <v>0</v>
      </c>
      <c r="J203" s="87">
        <v>0.04</v>
      </c>
      <c r="K203" s="93">
        <v>44222.744733796295</v>
      </c>
      <c r="M203" s="87" t="s">
        <v>647</v>
      </c>
    </row>
    <row r="204" spans="1:13" x14ac:dyDescent="0.2">
      <c r="A204" s="87">
        <v>217</v>
      </c>
      <c r="B204" s="87" t="s">
        <v>537</v>
      </c>
      <c r="C204" s="87">
        <v>77</v>
      </c>
      <c r="D204" s="87">
        <v>85</v>
      </c>
      <c r="E204" s="93">
        <v>44219.043703703705</v>
      </c>
      <c r="F204" s="87">
        <v>10</v>
      </c>
      <c r="G204" s="92" t="str">
        <f>HYPERLINK("https://www.abcfinancial.net/team/robert-withers-1","https://www.abcfinancial.net/team/robert-withers-1")</f>
        <v>https://www.abcfinancial.net/team/robert-withers-1</v>
      </c>
      <c r="H204" s="87">
        <v>0</v>
      </c>
      <c r="I204" s="87">
        <v>0</v>
      </c>
      <c r="K204" s="93">
        <v>44247.523587962962</v>
      </c>
      <c r="M204" s="87" t="s">
        <v>625</v>
      </c>
    </row>
    <row r="205" spans="1:13" x14ac:dyDescent="0.2">
      <c r="A205" s="87">
        <v>218</v>
      </c>
      <c r="B205" s="87" t="s">
        <v>151</v>
      </c>
      <c r="C205" s="87">
        <v>83</v>
      </c>
      <c r="D205" s="87">
        <v>83</v>
      </c>
      <c r="E205" s="93"/>
      <c r="F205" s="87">
        <v>60</v>
      </c>
      <c r="G205" s="92" t="str">
        <f>HYPERLINK("https://www.abcfinancial.net/resource-center/money/life-and-death-of-a-20-dollar-bill","https://www.abcfinancial.net/resource-center/money/life-and-death-of-a-20-dollar-bill")</f>
        <v>https://www.abcfinancial.net/resource-center/money/life-and-death-of-a-20-dollar-bill</v>
      </c>
      <c r="H205" s="87">
        <v>0</v>
      </c>
      <c r="I205" s="87">
        <v>0</v>
      </c>
      <c r="K205" s="93">
        <v>44247.873483796298</v>
      </c>
      <c r="M205" s="87" t="s">
        <v>648</v>
      </c>
    </row>
    <row r="206" spans="1:13" x14ac:dyDescent="0.2">
      <c r="A206" s="87">
        <v>219</v>
      </c>
      <c r="B206" s="87" t="s">
        <v>175</v>
      </c>
      <c r="C206" s="87">
        <v>86</v>
      </c>
      <c r="D206" s="87">
        <v>86</v>
      </c>
      <c r="F206" s="87">
        <v>100</v>
      </c>
      <c r="G206" s="92" t="str">
        <f>HYPERLINK("https://www.abcfinancial.net/resource-center/retirement/what-is-a-roth-401k","https://www.abcfinancial.net/resource-center/retirement/what-is-a-roth-401k")</f>
        <v>https://www.abcfinancial.net/resource-center/retirement/what-is-a-roth-401k</v>
      </c>
      <c r="H206" s="87">
        <v>33</v>
      </c>
      <c r="I206" s="87">
        <v>0</v>
      </c>
      <c r="J206" s="87">
        <v>1.1000000000000001</v>
      </c>
      <c r="K206" s="93">
        <v>44239.238530092596</v>
      </c>
      <c r="M206" s="87" t="s">
        <v>631</v>
      </c>
    </row>
    <row r="207" spans="1:13" x14ac:dyDescent="0.2">
      <c r="A207" s="87">
        <v>220</v>
      </c>
      <c r="B207" s="87" t="s">
        <v>82</v>
      </c>
      <c r="C207" s="87">
        <v>86</v>
      </c>
      <c r="D207" s="87">
        <v>85</v>
      </c>
      <c r="E207" s="93">
        <v>44200.777881944443</v>
      </c>
      <c r="F207" s="87">
        <v>200</v>
      </c>
      <c r="G207" s="92" t="str">
        <f>HYPERLINK("https://www.abcfinancial.net/resource-center/tax/how-income-taxes-work","https://www.abcfinancial.net/resource-center/tax/how-income-taxes-work")</f>
        <v>https://www.abcfinancial.net/resource-center/tax/how-income-taxes-work</v>
      </c>
      <c r="H207" s="87">
        <v>34</v>
      </c>
      <c r="I207" s="87">
        <v>0</v>
      </c>
      <c r="K207" s="93">
        <v>44226.881030092591</v>
      </c>
      <c r="M207" s="87" t="s">
        <v>649</v>
      </c>
    </row>
    <row r="208" spans="1:13" x14ac:dyDescent="0.2">
      <c r="A208" s="87">
        <v>221</v>
      </c>
      <c r="B208" s="87" t="s">
        <v>466</v>
      </c>
      <c r="C208" s="87">
        <v>77</v>
      </c>
      <c r="D208" s="87">
        <v>89</v>
      </c>
      <c r="E208" s="93">
        <v>44220.248148148145</v>
      </c>
      <c r="F208" s="87">
        <v>10</v>
      </c>
      <c r="G208" s="92" t="str">
        <f>HYPERLINK("https://www.abcfinancial.net/blog/socially-responsible-investing","https://www.abcfinancial.net/blog/socially-responsible-investing")</f>
        <v>https://www.abcfinancial.net/blog/socially-responsible-investing</v>
      </c>
      <c r="H208" s="87">
        <v>46</v>
      </c>
      <c r="I208" s="87">
        <v>0</v>
      </c>
      <c r="K208" s="93">
        <v>44248.35019675926</v>
      </c>
      <c r="M208" s="87" t="s">
        <v>582</v>
      </c>
    </row>
    <row r="209" spans="1:13" x14ac:dyDescent="0.2">
      <c r="A209" s="87">
        <v>222</v>
      </c>
      <c r="B209" s="87" t="s">
        <v>538</v>
      </c>
      <c r="C209" s="87">
        <v>79</v>
      </c>
      <c r="D209" s="87">
        <v>98</v>
      </c>
      <c r="E209" s="93">
        <v>44199.223240740743</v>
      </c>
      <c r="F209" s="87">
        <v>20</v>
      </c>
      <c r="G209" s="92" t="str">
        <f>HYPERLINK("https://www.abcfinancial.net/blog/investing-in-an-election-year","https://www.abcfinancial.net/blog/investing-in-an-election-year")</f>
        <v>https://www.abcfinancial.net/blog/investing-in-an-election-year</v>
      </c>
      <c r="H209" s="87">
        <v>38</v>
      </c>
      <c r="I209" s="87">
        <v>0</v>
      </c>
      <c r="K209" s="93">
        <v>44225.17428240741</v>
      </c>
      <c r="M209" s="87" t="s">
        <v>631</v>
      </c>
    </row>
    <row r="210" spans="1:13" x14ac:dyDescent="0.2">
      <c r="A210" s="87">
        <v>223</v>
      </c>
      <c r="B210" s="87" t="s">
        <v>394</v>
      </c>
      <c r="C210" s="87">
        <v>82</v>
      </c>
      <c r="D210" s="87">
        <v>82</v>
      </c>
      <c r="F210" s="87">
        <v>40</v>
      </c>
      <c r="G210" s="92" t="str">
        <f>HYPERLINK("https://www.abcfinancial.net/","https://www.abcfinancial.net/")</f>
        <v>https://www.abcfinancial.net/</v>
      </c>
      <c r="H210" s="87">
        <v>36</v>
      </c>
      <c r="I210" s="87">
        <v>0</v>
      </c>
      <c r="J210" s="87">
        <v>0.45</v>
      </c>
      <c r="K210" s="93">
        <v>44223.779826388891</v>
      </c>
      <c r="M210" s="87" t="s">
        <v>650</v>
      </c>
    </row>
    <row r="211" spans="1:13" x14ac:dyDescent="0.2">
      <c r="A211" s="87">
        <v>224</v>
      </c>
      <c r="B211" s="87" t="s">
        <v>467</v>
      </c>
      <c r="C211" s="87">
        <v>81</v>
      </c>
      <c r="D211" s="87">
        <v>76</v>
      </c>
      <c r="E211" s="93">
        <v>44207.677499999998</v>
      </c>
      <c r="F211" s="87">
        <v>30</v>
      </c>
      <c r="G211" s="92" t="str">
        <f>HYPERLINK("https://www.abcfinancial.net/blog/abc-financial-acquires-true-north-capital-alliance","https://www.abcfinancial.net/blog/abc-financial-acquires-true-north-capital-alliance")</f>
        <v>https://www.abcfinancial.net/blog/abc-financial-acquires-true-north-capital-alliance</v>
      </c>
      <c r="H211" s="87">
        <v>13</v>
      </c>
      <c r="I211" s="87">
        <v>0</v>
      </c>
      <c r="K211" s="93">
        <v>44233.109375</v>
      </c>
      <c r="M211" s="87" t="s">
        <v>601</v>
      </c>
    </row>
    <row r="212" spans="1:13" x14ac:dyDescent="0.2">
      <c r="A212" s="87">
        <v>225</v>
      </c>
      <c r="B212" s="87" t="s">
        <v>152</v>
      </c>
      <c r="C212" s="87">
        <v>93</v>
      </c>
      <c r="D212" s="87">
        <v>98</v>
      </c>
      <c r="E212" s="93">
        <v>44217.986377314817</v>
      </c>
      <c r="F212" s="87">
        <v>350</v>
      </c>
      <c r="G212" s="92" t="str">
        <f>HYPERLINK("https://www.abcfinancial.net/resource-center/tax/how-income-taxes-work","https://www.abcfinancial.net/resource-center/tax/how-income-taxes-work")</f>
        <v>https://www.abcfinancial.net/resource-center/tax/how-income-taxes-work</v>
      </c>
      <c r="H212" s="87">
        <v>66</v>
      </c>
      <c r="I212" s="87">
        <v>0</v>
      </c>
      <c r="K212" s="93">
        <v>44244.507337962961</v>
      </c>
      <c r="M212" s="87" t="s">
        <v>633</v>
      </c>
    </row>
    <row r="213" spans="1:13" x14ac:dyDescent="0.2">
      <c r="A213" s="87">
        <v>226</v>
      </c>
      <c r="B213" s="87" t="s">
        <v>340</v>
      </c>
      <c r="C213" s="87">
        <v>79</v>
      </c>
      <c r="D213" s="87">
        <v>79</v>
      </c>
      <c r="E213" s="93"/>
      <c r="F213" s="87">
        <v>20</v>
      </c>
      <c r="G213" s="92" t="str">
        <f>HYPERLINK("https://www.abcfinancial.net/","https://www.abcfinancial.net/")</f>
        <v>https://www.abcfinancial.net/</v>
      </c>
      <c r="H213" s="87">
        <v>25</v>
      </c>
      <c r="I213" s="87">
        <v>0</v>
      </c>
      <c r="K213" s="93">
        <v>44239.059259259258</v>
      </c>
      <c r="M213" s="87" t="s">
        <v>588</v>
      </c>
    </row>
    <row r="214" spans="1:13" x14ac:dyDescent="0.2">
      <c r="A214" s="87">
        <v>227</v>
      </c>
      <c r="B214" s="87" t="s">
        <v>326</v>
      </c>
      <c r="C214" s="87">
        <v>85</v>
      </c>
      <c r="D214" s="87">
        <v>82</v>
      </c>
      <c r="E214" s="93">
        <v>44169.376516203702</v>
      </c>
      <c r="F214" s="87">
        <v>80</v>
      </c>
      <c r="G214" s="92" t="str">
        <f>HYPERLINK("https://www.abcfinancial.net/p/investment-management","https://www.abcfinancial.net/p/investment-management")</f>
        <v>https://www.abcfinancial.net/p/investment-management</v>
      </c>
      <c r="H214" s="87">
        <v>8</v>
      </c>
      <c r="I214" s="87">
        <v>0</v>
      </c>
      <c r="K214" s="93">
        <v>44196.306921296295</v>
      </c>
      <c r="M214" s="87" t="s">
        <v>568</v>
      </c>
    </row>
    <row r="215" spans="1:13" x14ac:dyDescent="0.2">
      <c r="A215" s="87">
        <v>228</v>
      </c>
      <c r="B215" s="87" t="s">
        <v>129</v>
      </c>
      <c r="C215" s="87">
        <v>86</v>
      </c>
      <c r="D215" s="87">
        <v>86</v>
      </c>
      <c r="F215" s="87">
        <v>200</v>
      </c>
      <c r="G215" s="92" t="str">
        <f>HYPERLINK("https://www.abcfinancial.net/","https://www.abcfinancial.net/")</f>
        <v>https://www.abcfinancial.net/</v>
      </c>
      <c r="H215" s="87">
        <v>48</v>
      </c>
      <c r="I215" s="87">
        <v>0</v>
      </c>
      <c r="J215" s="87">
        <v>1.1000000000000001</v>
      </c>
      <c r="K215" s="93">
        <v>44240.153587962966</v>
      </c>
      <c r="M215" s="87" t="s">
        <v>651</v>
      </c>
    </row>
    <row r="216" spans="1:13" x14ac:dyDescent="0.2">
      <c r="A216" s="87">
        <v>229</v>
      </c>
      <c r="B216" s="87" t="s">
        <v>327</v>
      </c>
      <c r="C216" s="87">
        <v>82</v>
      </c>
      <c r="D216" s="87">
        <v>90</v>
      </c>
      <c r="E216" s="93">
        <v>44194.054560185185</v>
      </c>
      <c r="F216" s="87">
        <v>30</v>
      </c>
      <c r="G216" s="92" t="str">
        <f>HYPERLINK("https://www.abcfinancial.net/tax-planning-strategies","https://www.abcfinancial.net/tax-planning-strategies")</f>
        <v>https://www.abcfinancial.net/tax-planning-strategies</v>
      </c>
      <c r="H216" s="87">
        <v>0</v>
      </c>
      <c r="I216" s="87">
        <v>0</v>
      </c>
      <c r="K216" s="93">
        <v>44221.446122685185</v>
      </c>
    </row>
    <row r="217" spans="1:13" x14ac:dyDescent="0.2">
      <c r="A217" s="87">
        <v>230</v>
      </c>
      <c r="B217" s="87" t="s">
        <v>87</v>
      </c>
      <c r="C217" s="87">
        <v>85</v>
      </c>
      <c r="D217" s="87">
        <v>85</v>
      </c>
      <c r="F217" s="87">
        <v>100</v>
      </c>
      <c r="G217" s="92" t="str">
        <f>HYPERLINK("https://www.abcfinancial.net/blog/socially-responsible-investing","https://www.abcfinancial.net/blog/socially-responsible-investing")</f>
        <v>https://www.abcfinancial.net/blog/socially-responsible-investing</v>
      </c>
      <c r="H217" s="87">
        <v>60</v>
      </c>
      <c r="I217" s="87">
        <v>0</v>
      </c>
      <c r="J217" s="87">
        <v>10</v>
      </c>
      <c r="K217" s="93">
        <v>44239.928101851852</v>
      </c>
      <c r="M217" s="87" t="s">
        <v>652</v>
      </c>
    </row>
    <row r="218" spans="1:13" x14ac:dyDescent="0.2">
      <c r="A218" s="87">
        <v>231</v>
      </c>
      <c r="B218" s="87" t="s">
        <v>299</v>
      </c>
      <c r="C218" s="87">
        <v>89</v>
      </c>
      <c r="D218" s="87">
        <v>89</v>
      </c>
      <c r="E218" s="93"/>
      <c r="F218" s="87">
        <v>100</v>
      </c>
      <c r="G218" s="92" t="str">
        <f>HYPERLINK("https://www.abcfinancial.net/","https://www.abcfinancial.net/")</f>
        <v>https://www.abcfinancial.net/</v>
      </c>
      <c r="H218" s="87">
        <v>76</v>
      </c>
      <c r="I218" s="87">
        <v>0</v>
      </c>
      <c r="K218" s="93">
        <v>44227.432002314818</v>
      </c>
      <c r="M218" s="87" t="s">
        <v>591</v>
      </c>
    </row>
    <row r="219" spans="1:13" x14ac:dyDescent="0.2">
      <c r="A219" s="87">
        <v>232</v>
      </c>
      <c r="B219" s="87" t="s">
        <v>213</v>
      </c>
      <c r="C219" s="87">
        <v>90</v>
      </c>
      <c r="D219" s="87">
        <v>72</v>
      </c>
      <c r="E219" s="93">
        <v>44201.352500000001</v>
      </c>
      <c r="F219" s="87">
        <v>90</v>
      </c>
      <c r="G219" s="92" t="str">
        <f>HYPERLINK("https://www.abcfinancial.net/blog/socially-responsible-investing","https://www.abcfinancial.net/blog/socially-responsible-investing")</f>
        <v>https://www.abcfinancial.net/blog/socially-responsible-investing</v>
      </c>
      <c r="H219" s="87">
        <v>36</v>
      </c>
      <c r="I219" s="87">
        <v>0</v>
      </c>
      <c r="J219" s="87">
        <v>8</v>
      </c>
      <c r="K219" s="93">
        <v>44228.517523148148</v>
      </c>
      <c r="M219" s="87" t="s">
        <v>608</v>
      </c>
    </row>
    <row r="220" spans="1:13" x14ac:dyDescent="0.2">
      <c r="A220" s="87">
        <v>233</v>
      </c>
      <c r="B220" s="87" t="s">
        <v>168</v>
      </c>
      <c r="C220" s="87">
        <v>87</v>
      </c>
      <c r="D220" s="87">
        <v>98</v>
      </c>
      <c r="E220" s="93">
        <v>44201.685624999998</v>
      </c>
      <c r="F220" s="87">
        <v>150</v>
      </c>
      <c r="G220" s="92" t="str">
        <f>HYPERLINK("https://www.abcfinancial.net/blog/how-a-financial-professional-can-guide-you-through-choppy-seas","https://www.abcfinancial.net/blog/how-a-financial-professional-can-guide-you-through-choppy-seas")</f>
        <v>https://www.abcfinancial.net/blog/how-a-financial-professional-can-guide-you-through-choppy-seas</v>
      </c>
      <c r="H220" s="87">
        <v>1</v>
      </c>
      <c r="I220" s="87">
        <v>0</v>
      </c>
      <c r="K220" s="93">
        <v>44227.931932870371</v>
      </c>
      <c r="M220" s="87" t="s">
        <v>653</v>
      </c>
    </row>
    <row r="221" spans="1:13" x14ac:dyDescent="0.2">
      <c r="A221" s="87">
        <v>234</v>
      </c>
      <c r="B221" s="87" t="s">
        <v>195</v>
      </c>
      <c r="C221" s="87">
        <v>92</v>
      </c>
      <c r="D221" s="87">
        <v>80</v>
      </c>
      <c r="E221" s="93">
        <v>44198.617719907408</v>
      </c>
      <c r="F221" s="87">
        <v>100</v>
      </c>
      <c r="G221" s="92" t="str">
        <f>HYPERLINK("https://www.abcfinancial.net/blog/socially-responsible-investing","https://www.abcfinancial.net/blog/socially-responsible-investing")</f>
        <v>https://www.abcfinancial.net/blog/socially-responsible-investing</v>
      </c>
      <c r="H221" s="87">
        <v>33</v>
      </c>
      <c r="I221" s="87">
        <v>0</v>
      </c>
      <c r="J221" s="87">
        <v>6</v>
      </c>
      <c r="K221" s="93">
        <v>44224.148182870369</v>
      </c>
      <c r="M221" s="87" t="s">
        <v>631</v>
      </c>
    </row>
    <row r="222" spans="1:13" x14ac:dyDescent="0.2">
      <c r="A222" s="87">
        <v>235</v>
      </c>
      <c r="B222" s="87" t="s">
        <v>73</v>
      </c>
      <c r="C222" s="87">
        <v>88</v>
      </c>
      <c r="D222" s="87">
        <v>95</v>
      </c>
      <c r="E222" s="93">
        <v>44211.734363425923</v>
      </c>
      <c r="F222" s="87">
        <v>80</v>
      </c>
      <c r="G222" s="92" t="str">
        <f>HYPERLINK("https://www.abcfinancial.net/resource-center/tax/how-income-taxes-work","https://www.abcfinancial.net/resource-center/tax/how-income-taxes-work")</f>
        <v>https://www.abcfinancial.net/resource-center/tax/how-income-taxes-work</v>
      </c>
      <c r="H222" s="87">
        <v>60</v>
      </c>
      <c r="I222" s="87">
        <v>0</v>
      </c>
      <c r="K222" s="93">
        <v>44237.765231481484</v>
      </c>
      <c r="M222" s="87" t="s">
        <v>640</v>
      </c>
    </row>
    <row r="223" spans="1:13" x14ac:dyDescent="0.2">
      <c r="A223" s="87">
        <v>236</v>
      </c>
      <c r="B223" s="87" t="s">
        <v>553</v>
      </c>
      <c r="C223" s="87">
        <v>80</v>
      </c>
      <c r="D223" s="87">
        <v>80</v>
      </c>
      <c r="E223" s="93"/>
      <c r="F223" s="87">
        <v>10</v>
      </c>
      <c r="G223" s="92" t="str">
        <f>HYPERLINK("http://www.abcfinancial.net/resource-center/lifestyle/tips-to-prevent-marital-rift","http://www.abcfinancial.net/resource-center/lifestyle/tips-to-prevent-marital-rift")</f>
        <v>http://www.abcfinancial.net/resource-center/lifestyle/tips-to-prevent-marital-rift</v>
      </c>
      <c r="H223" s="87">
        <v>0</v>
      </c>
      <c r="I223" s="87">
        <v>0</v>
      </c>
      <c r="K223" s="93">
        <v>44239.019456018519</v>
      </c>
      <c r="M223" s="87" t="s">
        <v>654</v>
      </c>
    </row>
    <row r="224" spans="1:13" x14ac:dyDescent="0.2">
      <c r="A224" s="87">
        <v>238</v>
      </c>
      <c r="B224" s="87" t="s">
        <v>108</v>
      </c>
      <c r="C224" s="87">
        <v>87</v>
      </c>
      <c r="D224" s="87">
        <v>87</v>
      </c>
      <c r="F224" s="87">
        <v>60</v>
      </c>
      <c r="G224" s="92" t="str">
        <f>HYPERLINK("https://www.abcfinancial.net/resource-center/money/life-and-death-of-a-20-dollar-bill","https://www.abcfinancial.net/resource-center/money/life-and-death-of-a-20-dollar-bill")</f>
        <v>https://www.abcfinancial.net/resource-center/money/life-and-death-of-a-20-dollar-bill</v>
      </c>
      <c r="H224" s="87">
        <v>51</v>
      </c>
      <c r="I224" s="87">
        <v>0</v>
      </c>
      <c r="K224" s="93">
        <v>44247.279930555553</v>
      </c>
      <c r="M224" s="87" t="s">
        <v>612</v>
      </c>
    </row>
    <row r="225" spans="1:13" x14ac:dyDescent="0.2">
      <c r="A225" s="87">
        <v>239</v>
      </c>
      <c r="B225" s="87" t="s">
        <v>161</v>
      </c>
      <c r="C225" s="87">
        <v>82</v>
      </c>
      <c r="D225" s="87">
        <v>75</v>
      </c>
      <c r="E225" s="93">
        <v>44210.922662037039</v>
      </c>
      <c r="F225" s="87">
        <v>20</v>
      </c>
      <c r="G225" s="92" t="str">
        <f>HYPERLINK("https://www.abcfinancial.net/resource-center/retirement/women-on-the-rise","https://www.abcfinancial.net/resource-center/retirement/women-on-the-rise")</f>
        <v>https://www.abcfinancial.net/resource-center/retirement/women-on-the-rise</v>
      </c>
      <c r="H225" s="87">
        <v>16</v>
      </c>
      <c r="I225" s="87">
        <v>0</v>
      </c>
      <c r="K225" s="93">
        <v>44237.104456018518</v>
      </c>
      <c r="M225" s="87" t="s">
        <v>568</v>
      </c>
    </row>
    <row r="226" spans="1:13" x14ac:dyDescent="0.2">
      <c r="A226" s="87">
        <v>240</v>
      </c>
      <c r="B226" s="87" t="s">
        <v>72</v>
      </c>
      <c r="C226" s="87">
        <v>89</v>
      </c>
      <c r="D226" s="87">
        <v>92</v>
      </c>
      <c r="E226" s="93">
        <v>44198.621793981481</v>
      </c>
      <c r="F226" s="87">
        <v>200</v>
      </c>
      <c r="G226" s="92" t="str">
        <f>HYPERLINK("https://www.abcfinancial.net/resource-center/tax/how-income-taxes-work","https://www.abcfinancial.net/resource-center/tax/how-income-taxes-work")</f>
        <v>https://www.abcfinancial.net/resource-center/tax/how-income-taxes-work</v>
      </c>
      <c r="H226" s="87">
        <v>48</v>
      </c>
      <c r="I226" s="87">
        <v>0</v>
      </c>
      <c r="J226" s="87">
        <v>0.35</v>
      </c>
      <c r="K226" s="93">
        <v>44224.530671296299</v>
      </c>
      <c r="M226" s="87" t="s">
        <v>582</v>
      </c>
    </row>
    <row r="227" spans="1:13" x14ac:dyDescent="0.2">
      <c r="A227" s="87">
        <v>241</v>
      </c>
      <c r="B227" s="87" t="s">
        <v>214</v>
      </c>
      <c r="C227" s="87">
        <v>88</v>
      </c>
      <c r="D227" s="87">
        <v>88</v>
      </c>
      <c r="E227" s="93"/>
      <c r="F227" s="87">
        <v>60</v>
      </c>
      <c r="G227" s="92" t="str">
        <f>HYPERLINK("http://www.abcfinancial.net/resource-center/money/spotting-credit-trouble","http://www.abcfinancial.net/resource-center/money/spotting-credit-trouble")</f>
        <v>http://www.abcfinancial.net/resource-center/money/spotting-credit-trouble</v>
      </c>
      <c r="H227" s="87">
        <v>30</v>
      </c>
      <c r="I227" s="87">
        <v>0</v>
      </c>
      <c r="K227" s="93">
        <v>44228.067743055559</v>
      </c>
      <c r="M227" s="87" t="s">
        <v>640</v>
      </c>
    </row>
    <row r="228" spans="1:13" x14ac:dyDescent="0.2">
      <c r="A228" s="87">
        <v>242</v>
      </c>
      <c r="B228" s="87" t="s">
        <v>371</v>
      </c>
      <c r="C228" s="87">
        <v>87</v>
      </c>
      <c r="D228" s="87">
        <v>94</v>
      </c>
      <c r="E228" s="93">
        <v>44204.81523148148</v>
      </c>
      <c r="F228" s="87">
        <v>50</v>
      </c>
      <c r="G228" s="92" t="str">
        <f>HYPERLINK("https://www.abcfinancial.net/","https://www.abcfinancial.net/")</f>
        <v>https://www.abcfinancial.net/</v>
      </c>
      <c r="H228" s="87">
        <v>0</v>
      </c>
      <c r="I228" s="87">
        <v>0</v>
      </c>
      <c r="K228" s="93">
        <v>44230.258645833332</v>
      </c>
      <c r="M228" s="87" t="s">
        <v>570</v>
      </c>
    </row>
    <row r="229" spans="1:13" x14ac:dyDescent="0.2">
      <c r="A229" s="87">
        <v>243</v>
      </c>
      <c r="B229" s="87" t="s">
        <v>430</v>
      </c>
      <c r="C229" s="87">
        <v>84</v>
      </c>
      <c r="D229" s="87">
        <v>84</v>
      </c>
      <c r="E229" s="93"/>
      <c r="F229" s="87">
        <v>20</v>
      </c>
      <c r="G229" s="92" t="str">
        <f>HYPERLINK("https://www.abcfinancial.net/resource-center/retirement/investment-strategies-for-retirement?responsive=false","https://www.abcfinancial.net/resource-center/retirement/investment-strategies-for-retirement?responsive=false")</f>
        <v>https://www.abcfinancial.net/resource-center/retirement/investment-strategies-for-retirement?responsive=false</v>
      </c>
      <c r="H229" s="87">
        <v>0</v>
      </c>
      <c r="I229" s="87">
        <v>0</v>
      </c>
      <c r="K229" s="93">
        <v>44239.744930555556</v>
      </c>
      <c r="M229" s="87" t="s">
        <v>570</v>
      </c>
    </row>
    <row r="230" spans="1:13" x14ac:dyDescent="0.2">
      <c r="A230" s="87">
        <v>244</v>
      </c>
      <c r="B230" s="87" t="s">
        <v>395</v>
      </c>
      <c r="C230" s="87">
        <v>87</v>
      </c>
      <c r="D230" s="87">
        <v>87</v>
      </c>
      <c r="E230" s="93"/>
      <c r="F230" s="87">
        <v>50</v>
      </c>
      <c r="G230" s="92" t="str">
        <f>HYPERLINK("https://www.abcfinancial.net/","https://www.abcfinancial.net/")</f>
        <v>https://www.abcfinancial.net/</v>
      </c>
      <c r="H230" s="87">
        <v>1</v>
      </c>
      <c r="I230" s="87">
        <v>0</v>
      </c>
      <c r="K230" s="93">
        <v>44227.373206018521</v>
      </c>
      <c r="M230" s="87" t="s">
        <v>655</v>
      </c>
    </row>
    <row r="231" spans="1:13" x14ac:dyDescent="0.2">
      <c r="A231" s="87">
        <v>245</v>
      </c>
      <c r="B231" s="92" t="s">
        <v>215</v>
      </c>
      <c r="C231" s="87">
        <v>90</v>
      </c>
      <c r="D231" s="87">
        <v>80</v>
      </c>
      <c r="E231" s="93">
        <v>44203.542361111111</v>
      </c>
      <c r="F231" s="87">
        <v>100</v>
      </c>
      <c r="G231" s="92" t="str">
        <f>HYPERLINK("https://www.abcfinancial.net/blog/teaching-money-mindfulness-to-your-children","https://www.abcfinancial.net/blog/teaching-money-mindfulness-to-your-children")</f>
        <v>https://www.abcfinancial.net/blog/teaching-money-mindfulness-to-your-children</v>
      </c>
      <c r="H231" s="87">
        <v>0</v>
      </c>
      <c r="I231" s="87">
        <v>0</v>
      </c>
      <c r="K231" s="93">
        <v>44229.86791666667</v>
      </c>
      <c r="M231" s="87" t="s">
        <v>656</v>
      </c>
    </row>
    <row r="232" spans="1:13" x14ac:dyDescent="0.2">
      <c r="A232" s="87">
        <v>246</v>
      </c>
      <c r="B232" s="87" t="s">
        <v>196</v>
      </c>
      <c r="C232" s="87">
        <v>89</v>
      </c>
      <c r="D232" s="87">
        <v>89</v>
      </c>
      <c r="E232" s="93"/>
      <c r="F232" s="87">
        <v>70</v>
      </c>
      <c r="G232" s="92" t="str">
        <f>HYPERLINK("https://www.abcfinancial.net/blog/abc-financial-acquires-true-north-capital-alliance","https://www.abcfinancial.net/blog/abc-financial-acquires-true-north-capital-alliance")</f>
        <v>https://www.abcfinancial.net/blog/abc-financial-acquires-true-north-capital-alliance</v>
      </c>
      <c r="H232" s="87">
        <v>3</v>
      </c>
      <c r="I232" s="87">
        <v>0</v>
      </c>
      <c r="K232" s="93">
        <v>44221.72550925926</v>
      </c>
      <c r="M232" s="87" t="s">
        <v>572</v>
      </c>
    </row>
    <row r="233" spans="1:13" x14ac:dyDescent="0.2">
      <c r="A233" s="87">
        <v>247</v>
      </c>
      <c r="B233" s="87" t="s">
        <v>254</v>
      </c>
      <c r="C233" s="87">
        <v>90</v>
      </c>
      <c r="D233" s="87">
        <v>60</v>
      </c>
      <c r="E233" s="93">
        <v>44195.248738425929</v>
      </c>
      <c r="F233" s="87">
        <v>90</v>
      </c>
      <c r="G233" s="92" t="str">
        <f>HYPERLINK("https://www.abcfinancial.net/blog/what-president-trumps-tariff-means-for-you","https://www.abcfinancial.net/blog/what-president-trumps-tariff-means-for-you")</f>
        <v>https://www.abcfinancial.net/blog/what-president-trumps-tariff-means-for-you</v>
      </c>
      <c r="H233" s="87">
        <v>45</v>
      </c>
      <c r="I233" s="87">
        <v>0</v>
      </c>
      <c r="K233" s="93">
        <v>44221.808819444443</v>
      </c>
      <c r="M233" s="87" t="s">
        <v>657</v>
      </c>
    </row>
    <row r="234" spans="1:13" x14ac:dyDescent="0.2">
      <c r="A234" s="87">
        <v>248</v>
      </c>
      <c r="B234" s="87" t="s">
        <v>233</v>
      </c>
      <c r="C234" s="87">
        <v>85</v>
      </c>
      <c r="D234" s="87">
        <v>85</v>
      </c>
      <c r="F234" s="87">
        <v>30</v>
      </c>
      <c r="G234" s="92" t="str">
        <f>HYPERLINK("https://www.abcfinancial.net/","https://www.abcfinancial.net/")</f>
        <v>https://www.abcfinancial.net/</v>
      </c>
      <c r="H234" s="87">
        <v>0</v>
      </c>
      <c r="I234" s="87">
        <v>0</v>
      </c>
      <c r="J234" s="87">
        <v>0.01</v>
      </c>
      <c r="K234" s="93">
        <v>44223.672569444447</v>
      </c>
      <c r="M234" s="87" t="s">
        <v>572</v>
      </c>
    </row>
    <row r="235" spans="1:13" x14ac:dyDescent="0.2">
      <c r="A235" s="87">
        <v>249</v>
      </c>
      <c r="B235" s="87" t="s">
        <v>328</v>
      </c>
      <c r="C235" s="87">
        <v>87</v>
      </c>
      <c r="D235" s="87">
        <v>87</v>
      </c>
      <c r="E235" s="93"/>
      <c r="F235" s="87">
        <v>40</v>
      </c>
      <c r="G235" s="92" t="str">
        <f>HYPERLINK("https://www.abcfinancial.net/resource-center/retirement/self-employed-retirement-plans","https://www.abcfinancial.net/resource-center/retirement/self-employed-retirement-plans")</f>
        <v>https://www.abcfinancial.net/resource-center/retirement/self-employed-retirement-plans</v>
      </c>
      <c r="H235" s="87">
        <v>29</v>
      </c>
      <c r="I235" s="87">
        <v>0</v>
      </c>
      <c r="K235" s="93">
        <v>44240.513009259259</v>
      </c>
      <c r="M235" s="87" t="s">
        <v>572</v>
      </c>
    </row>
    <row r="236" spans="1:13" x14ac:dyDescent="0.2">
      <c r="A236" s="87">
        <v>250</v>
      </c>
      <c r="B236" s="87" t="s">
        <v>140</v>
      </c>
      <c r="C236" s="87">
        <v>89</v>
      </c>
      <c r="D236" s="87">
        <v>89</v>
      </c>
      <c r="F236" s="87">
        <v>100</v>
      </c>
      <c r="G236" s="92" t="str">
        <f>HYPERLINK("https://www.abcfinancial.net/resource-center/tax/how-income-taxes-work","https://www.abcfinancial.net/resource-center/tax/how-income-taxes-work")</f>
        <v>https://www.abcfinancial.net/resource-center/tax/how-income-taxes-work</v>
      </c>
      <c r="H236" s="87">
        <v>49</v>
      </c>
      <c r="I236" s="87">
        <v>0</v>
      </c>
      <c r="K236" s="93">
        <v>44248.196666666663</v>
      </c>
      <c r="M236" s="87" t="s">
        <v>658</v>
      </c>
    </row>
    <row r="237" spans="1:13" x14ac:dyDescent="0.2">
      <c r="A237" s="87">
        <v>251</v>
      </c>
      <c r="B237" s="87" t="s">
        <v>372</v>
      </c>
      <c r="C237" s="87">
        <v>87</v>
      </c>
      <c r="D237" s="87">
        <v>67</v>
      </c>
      <c r="E237" s="93">
        <v>44207.711469907408</v>
      </c>
      <c r="F237" s="87">
        <v>30</v>
      </c>
      <c r="G237" s="92" t="str">
        <f>HYPERLINK("https://www.abcfinancial.net/resource-center/money/life-and-death-of-a-20-dollar-bill","https://www.abcfinancial.net/resource-center/money/life-and-death-of-a-20-dollar-bill")</f>
        <v>https://www.abcfinancial.net/resource-center/money/life-and-death-of-a-20-dollar-bill</v>
      </c>
      <c r="H237" s="87">
        <v>12</v>
      </c>
      <c r="I237" s="87">
        <v>0</v>
      </c>
      <c r="K237" s="93">
        <v>44233.909363425926</v>
      </c>
      <c r="M237" s="87" t="s">
        <v>659</v>
      </c>
    </row>
    <row r="238" spans="1:13" x14ac:dyDescent="0.2">
      <c r="A238" s="87">
        <v>252</v>
      </c>
      <c r="B238" s="87" t="s">
        <v>396</v>
      </c>
      <c r="C238" s="87">
        <v>89</v>
      </c>
      <c r="D238" s="87">
        <v>89</v>
      </c>
      <c r="F238" s="87">
        <v>40</v>
      </c>
      <c r="G238" s="92" t="str">
        <f>HYPERLINK("https://www.abcfinancial.net/blog/eleven-ways-to-help-yourself-stay-sane-in-a-crazy-market","https://www.abcfinancial.net/blog/eleven-ways-to-help-yourself-stay-sane-in-a-crazy-market")</f>
        <v>https://www.abcfinancial.net/blog/eleven-ways-to-help-yourself-stay-sane-in-a-crazy-market</v>
      </c>
      <c r="H238" s="87">
        <v>36</v>
      </c>
      <c r="I238" s="87">
        <v>0</v>
      </c>
      <c r="K238" s="93">
        <v>44221.30672453704</v>
      </c>
      <c r="M238" s="87" t="s">
        <v>568</v>
      </c>
    </row>
    <row r="239" spans="1:13" x14ac:dyDescent="0.2">
      <c r="A239" s="87">
        <v>253</v>
      </c>
      <c r="B239" s="87" t="s">
        <v>373</v>
      </c>
      <c r="C239" s="87">
        <v>90</v>
      </c>
      <c r="D239" s="87">
        <v>90</v>
      </c>
      <c r="E239" s="93"/>
      <c r="F239" s="87">
        <v>60</v>
      </c>
      <c r="G239" s="92" t="str">
        <f>HYPERLINK("https://www.abcfinancial.net/","https://www.abcfinancial.net/")</f>
        <v>https://www.abcfinancial.net/</v>
      </c>
      <c r="H239" s="87">
        <v>45</v>
      </c>
      <c r="I239" s="87">
        <v>0</v>
      </c>
      <c r="J239" s="87">
        <v>0.2</v>
      </c>
      <c r="K239" s="93">
        <v>44223.054594907408</v>
      </c>
      <c r="M239" s="87" t="s">
        <v>648</v>
      </c>
    </row>
    <row r="240" spans="1:13" x14ac:dyDescent="0.2">
      <c r="A240" s="87">
        <v>254</v>
      </c>
      <c r="B240" s="87" t="s">
        <v>234</v>
      </c>
      <c r="C240" s="87">
        <v>90</v>
      </c>
      <c r="D240" s="87">
        <v>82</v>
      </c>
      <c r="E240" s="93">
        <v>44205.438391203701</v>
      </c>
      <c r="F240" s="87">
        <v>60</v>
      </c>
      <c r="G240" s="92" t="str">
        <f>HYPERLINK("https://www.abcfinancial.net/blog/tax-planning-for-income","https://www.abcfinancial.net/blog/tax-planning-for-income")</f>
        <v>https://www.abcfinancial.net/blog/tax-planning-for-income</v>
      </c>
      <c r="H240" s="87">
        <v>0</v>
      </c>
      <c r="I240" s="87">
        <v>0</v>
      </c>
      <c r="J240" s="87">
        <v>13</v>
      </c>
      <c r="K240" s="93">
        <v>44231.451238425929</v>
      </c>
      <c r="M240" s="87" t="s">
        <v>597</v>
      </c>
    </row>
    <row r="241" spans="1:13" x14ac:dyDescent="0.2">
      <c r="A241" s="87">
        <v>255</v>
      </c>
      <c r="B241" s="87" t="s">
        <v>539</v>
      </c>
      <c r="C241" s="87">
        <v>85</v>
      </c>
      <c r="D241" s="87">
        <v>85</v>
      </c>
      <c r="F241" s="87">
        <v>20</v>
      </c>
      <c r="G241" s="92" t="str">
        <f>HYPERLINK("https://www.abcfinancial.net/blog/coping-with-market-volatility-in-uncertain-times","https://www.abcfinancial.net/blog/coping-with-market-volatility-in-uncertain-times")</f>
        <v>https://www.abcfinancial.net/blog/coping-with-market-volatility-in-uncertain-times</v>
      </c>
      <c r="H241" s="87">
        <v>0</v>
      </c>
      <c r="I241" s="87">
        <v>0</v>
      </c>
      <c r="K241" s="93">
        <v>44246.431770833333</v>
      </c>
      <c r="M241" s="87" t="s">
        <v>660</v>
      </c>
    </row>
    <row r="242" spans="1:13" x14ac:dyDescent="0.2">
      <c r="A242" s="87">
        <v>256</v>
      </c>
      <c r="B242" s="87" t="s">
        <v>286</v>
      </c>
      <c r="C242" s="87">
        <v>93</v>
      </c>
      <c r="D242" s="87">
        <v>93</v>
      </c>
      <c r="E242" s="93"/>
      <c r="F242" s="87">
        <v>100</v>
      </c>
      <c r="G242" s="92" t="str">
        <f>HYPERLINK("https://www.abcfinancial.net/resource-center/lifestyle/should-you-choose-a-fixed-or-variable","https://www.abcfinancial.net/resource-center/lifestyle/should-you-choose-a-fixed-or-variable")</f>
        <v>https://www.abcfinancial.net/resource-center/lifestyle/should-you-choose-a-fixed-or-variable</v>
      </c>
      <c r="H242" s="87">
        <v>54</v>
      </c>
      <c r="I242" s="87">
        <v>0</v>
      </c>
      <c r="J242" s="87">
        <v>4.5</v>
      </c>
      <c r="K242" s="93">
        <v>44228.802557870367</v>
      </c>
      <c r="M242" s="87" t="s">
        <v>603</v>
      </c>
    </row>
    <row r="243" spans="1:13" x14ac:dyDescent="0.2">
      <c r="A243" s="87">
        <v>257</v>
      </c>
      <c r="B243" s="87" t="s">
        <v>313</v>
      </c>
      <c r="C243" s="87">
        <v>90</v>
      </c>
      <c r="D243" s="87">
        <v>90</v>
      </c>
      <c r="E243" s="93"/>
      <c r="F243" s="87">
        <v>50</v>
      </c>
      <c r="G243" s="92" t="str">
        <f>HYPERLINK("https://www.abcfinancial.net/tax-planning-strategies","https://www.abcfinancial.net/tax-planning-strategies")</f>
        <v>https://www.abcfinancial.net/tax-planning-strategies</v>
      </c>
      <c r="H243" s="87">
        <v>3</v>
      </c>
      <c r="I243" s="87">
        <v>0</v>
      </c>
      <c r="J243" s="87">
        <v>1.6</v>
      </c>
      <c r="K243" s="93">
        <v>44247.262037037035</v>
      </c>
      <c r="M243" s="87" t="s">
        <v>661</v>
      </c>
    </row>
    <row r="244" spans="1:13" x14ac:dyDescent="0.2">
      <c r="A244" s="87">
        <v>258</v>
      </c>
      <c r="B244" s="87" t="s">
        <v>216</v>
      </c>
      <c r="C244" s="87">
        <v>94</v>
      </c>
      <c r="D244" s="87">
        <v>100</v>
      </c>
      <c r="E244" s="93">
        <v>44199.247129629628</v>
      </c>
      <c r="F244" s="87">
        <v>100</v>
      </c>
      <c r="G244" s="92" t="str">
        <f>HYPERLINK("https://www.abcfinancial.net/resource-center/money/life-and-death-of-a-20-dollar-bill","https://www.abcfinancial.net/resource-center/money/life-and-death-of-a-20-dollar-bill")</f>
        <v>https://www.abcfinancial.net/resource-center/money/life-and-death-of-a-20-dollar-bill</v>
      </c>
      <c r="H244" s="87">
        <v>54</v>
      </c>
      <c r="I244" s="87">
        <v>0</v>
      </c>
      <c r="K244" s="93">
        <v>44225.118842592594</v>
      </c>
      <c r="M244" s="87" t="s">
        <v>627</v>
      </c>
    </row>
    <row r="245" spans="1:13" x14ac:dyDescent="0.2">
      <c r="A245" s="87">
        <v>259</v>
      </c>
      <c r="B245" s="87" t="s">
        <v>431</v>
      </c>
      <c r="C245" s="87">
        <v>88</v>
      </c>
      <c r="D245" s="87">
        <v>90</v>
      </c>
      <c r="E245" s="93">
        <v>44201.132928240739</v>
      </c>
      <c r="F245" s="87">
        <v>30</v>
      </c>
      <c r="G245" s="92" t="str">
        <f>HYPERLINK("https://www.abcfinancial.net/blog/abc-financial-acquires-true-north-capital-alliance","https://www.abcfinancial.net/blog/abc-financial-acquires-true-north-capital-alliance")</f>
        <v>https://www.abcfinancial.net/blog/abc-financial-acquires-true-north-capital-alliance</v>
      </c>
      <c r="H245" s="87">
        <v>0</v>
      </c>
      <c r="I245" s="87">
        <v>0</v>
      </c>
      <c r="K245" s="93">
        <v>44227.922256944446</v>
      </c>
      <c r="M245" s="87" t="s">
        <v>570</v>
      </c>
    </row>
    <row r="246" spans="1:13" x14ac:dyDescent="0.2">
      <c r="A246" s="87">
        <v>260</v>
      </c>
      <c r="B246" s="87" t="s">
        <v>103</v>
      </c>
      <c r="C246" s="87">
        <v>90</v>
      </c>
      <c r="D246" s="87">
        <v>90</v>
      </c>
      <c r="F246" s="87">
        <v>40</v>
      </c>
      <c r="G246" s="92" t="str">
        <f>HYPERLINK("https://www.abcfinancial.net/resource-center/lifestyle/should-you-choose-a-fixed-or-variable","https://www.abcfinancial.net/resource-center/lifestyle/should-you-choose-a-fixed-or-variable")</f>
        <v>https://www.abcfinancial.net/resource-center/lifestyle/should-you-choose-a-fixed-or-variable</v>
      </c>
      <c r="H246" s="87">
        <v>20</v>
      </c>
      <c r="I246" s="87">
        <v>0</v>
      </c>
      <c r="K246" s="93">
        <v>44231.005648148152</v>
      </c>
      <c r="M246" s="87" t="s">
        <v>662</v>
      </c>
    </row>
    <row r="247" spans="1:13" x14ac:dyDescent="0.2">
      <c r="A247" s="87">
        <v>261</v>
      </c>
      <c r="B247" s="87" t="s">
        <v>540</v>
      </c>
      <c r="C247" s="87">
        <v>86</v>
      </c>
      <c r="D247" s="87">
        <v>71</v>
      </c>
      <c r="E247" s="93">
        <v>44215.600636574076</v>
      </c>
      <c r="F247" s="87">
        <v>10</v>
      </c>
      <c r="G247" s="92" t="str">
        <f>HYPERLINK("https://www.abcfinancial.net/","https://www.abcfinancial.net/")</f>
        <v>https://www.abcfinancial.net/</v>
      </c>
      <c r="H247" s="87">
        <v>17</v>
      </c>
      <c r="I247" s="87">
        <v>0</v>
      </c>
      <c r="J247" s="87">
        <v>3.5</v>
      </c>
      <c r="K247" s="93">
        <v>44240.748101851852</v>
      </c>
      <c r="M247" s="87" t="s">
        <v>631</v>
      </c>
    </row>
    <row r="248" spans="1:13" x14ac:dyDescent="0.2">
      <c r="A248" s="87">
        <v>262</v>
      </c>
      <c r="B248" s="87" t="s">
        <v>329</v>
      </c>
      <c r="C248" s="87">
        <v>93</v>
      </c>
      <c r="D248" s="87">
        <v>93</v>
      </c>
      <c r="E248" s="93"/>
      <c r="F248" s="87">
        <v>70</v>
      </c>
      <c r="G248" s="92" t="str">
        <f>HYPERLINK("https://www.abcfinancial.net/meet-the-team","https://www.abcfinancial.net/meet-the-team")</f>
        <v>https://www.abcfinancial.net/meet-the-team</v>
      </c>
      <c r="H248" s="87">
        <v>0</v>
      </c>
      <c r="I248" s="87">
        <v>0</v>
      </c>
      <c r="K248" s="93">
        <v>44223.492430555554</v>
      </c>
      <c r="M248" s="87" t="s">
        <v>608</v>
      </c>
    </row>
    <row r="249" spans="1:13" x14ac:dyDescent="0.2">
      <c r="A249" s="87">
        <v>263</v>
      </c>
      <c r="B249" s="87" t="s">
        <v>397</v>
      </c>
      <c r="C249" s="87">
        <v>90</v>
      </c>
      <c r="D249" s="87">
        <v>88</v>
      </c>
      <c r="E249" s="93">
        <v>44210.330879629626</v>
      </c>
      <c r="F249" s="87">
        <v>30</v>
      </c>
      <c r="G249" s="92" t="str">
        <f>HYPERLINK("https://www.abcfinancial.net/blog","https://www.abcfinancial.net/blog")</f>
        <v>https://www.abcfinancial.net/blog</v>
      </c>
      <c r="H249" s="87">
        <v>19</v>
      </c>
      <c r="I249" s="87">
        <v>0</v>
      </c>
      <c r="K249" s="93">
        <v>44237.405532407407</v>
      </c>
      <c r="M249" s="87" t="s">
        <v>572</v>
      </c>
    </row>
    <row r="250" spans="1:13" x14ac:dyDescent="0.2">
      <c r="A250" s="87">
        <v>264</v>
      </c>
      <c r="B250" s="87" t="s">
        <v>101</v>
      </c>
      <c r="C250" s="87">
        <v>92</v>
      </c>
      <c r="D250" s="87">
        <v>89</v>
      </c>
      <c r="E250" s="93">
        <v>44217.767488425925</v>
      </c>
      <c r="F250" s="87">
        <v>350</v>
      </c>
      <c r="G250" s="92" t="str">
        <f>HYPERLINK("https://www.abcfinancial.net/resource-center/money/life-and-death-of-a-20-dollar-bill","https://www.abcfinancial.net/resource-center/money/life-and-death-of-a-20-dollar-bill")</f>
        <v>https://www.abcfinancial.net/resource-center/money/life-and-death-of-a-20-dollar-bill</v>
      </c>
      <c r="H250" s="87">
        <v>38</v>
      </c>
      <c r="I250" s="87">
        <v>0</v>
      </c>
      <c r="K250" s="93">
        <v>44245.189803240741</v>
      </c>
      <c r="M250" s="87" t="s">
        <v>627</v>
      </c>
    </row>
    <row r="251" spans="1:13" x14ac:dyDescent="0.2">
      <c r="A251" s="87">
        <v>265</v>
      </c>
      <c r="B251" s="87" t="s">
        <v>106</v>
      </c>
      <c r="C251" s="87">
        <v>94</v>
      </c>
      <c r="D251" s="87">
        <v>94</v>
      </c>
      <c r="E251" s="93"/>
      <c r="F251" s="87">
        <v>250</v>
      </c>
      <c r="G251" s="92" t="str">
        <f>HYPERLINK("https://www.abcfinancial.net/team/dan-mohoney-1","https://www.abcfinancial.net/team/dan-mohoney-1")</f>
        <v>https://www.abcfinancial.net/team/dan-mohoney-1</v>
      </c>
      <c r="H251" s="87">
        <v>1</v>
      </c>
      <c r="I251" s="87">
        <v>0</v>
      </c>
      <c r="J251" s="87">
        <v>0.7</v>
      </c>
      <c r="K251" s="93">
        <v>44247.1012962963</v>
      </c>
      <c r="M251" s="87" t="s">
        <v>583</v>
      </c>
    </row>
    <row r="252" spans="1:13" x14ac:dyDescent="0.2">
      <c r="A252" s="87">
        <v>266</v>
      </c>
      <c r="B252" s="87" t="s">
        <v>341</v>
      </c>
      <c r="C252" s="87">
        <v>89</v>
      </c>
      <c r="D252" s="87">
        <v>85</v>
      </c>
      <c r="E252" s="93">
        <v>44199.012592592589</v>
      </c>
      <c r="F252" s="87">
        <v>20</v>
      </c>
      <c r="G252" s="92" t="str">
        <f>HYPERLINK("https://www.abcfinancial.net/resource-center/tax/how-income-taxes-work","https://www.abcfinancial.net/resource-center/tax/how-income-taxes-work")</f>
        <v>https://www.abcfinancial.net/resource-center/tax/how-income-taxes-work</v>
      </c>
      <c r="H252" s="87">
        <v>72</v>
      </c>
      <c r="I252" s="87">
        <v>0</v>
      </c>
      <c r="K252" s="93">
        <v>44225.798738425925</v>
      </c>
      <c r="M252" s="87" t="s">
        <v>582</v>
      </c>
    </row>
    <row r="253" spans="1:13" x14ac:dyDescent="0.2">
      <c r="A253" s="87">
        <v>267</v>
      </c>
      <c r="B253" s="87" t="s">
        <v>541</v>
      </c>
      <c r="C253" s="87">
        <v>86</v>
      </c>
      <c r="D253" s="87">
        <v>78</v>
      </c>
      <c r="E253" s="93">
        <v>44200.980219907404</v>
      </c>
      <c r="F253" s="87">
        <v>10</v>
      </c>
      <c r="G253" s="92" t="str">
        <f>HYPERLINK("https://www.abcfinancial.net/blog/abc-financial-acquires-true-north-capital-alliance","https://www.abcfinancial.net/blog/abc-financial-acquires-true-north-capital-alliance")</f>
        <v>https://www.abcfinancial.net/blog/abc-financial-acquires-true-north-capital-alliance</v>
      </c>
      <c r="H253" s="87">
        <v>3</v>
      </c>
      <c r="I253" s="87">
        <v>0</v>
      </c>
      <c r="K253" s="93">
        <v>44226.897129629629</v>
      </c>
      <c r="M253" s="87" t="s">
        <v>591</v>
      </c>
    </row>
    <row r="254" spans="1:13" x14ac:dyDescent="0.2">
      <c r="A254" s="87">
        <v>268</v>
      </c>
      <c r="B254" s="87" t="s">
        <v>128</v>
      </c>
      <c r="C254" s="87">
        <v>87</v>
      </c>
      <c r="D254" s="87">
        <v>87</v>
      </c>
      <c r="E254" s="93"/>
      <c r="F254" s="87">
        <v>10</v>
      </c>
      <c r="G254" s="92" t="str">
        <f>HYPERLINK("https://www.abcfinancial.net/blog/socially-responsible-investing","https://www.abcfinancial.net/blog/socially-responsible-investing")</f>
        <v>https://www.abcfinancial.net/blog/socially-responsible-investing</v>
      </c>
      <c r="H254" s="87">
        <v>54</v>
      </c>
      <c r="I254" s="87">
        <v>0</v>
      </c>
      <c r="K254" s="93">
        <v>44240.981516203705</v>
      </c>
      <c r="M254" s="87" t="s">
        <v>663</v>
      </c>
    </row>
    <row r="255" spans="1:13" x14ac:dyDescent="0.2">
      <c r="A255" s="87">
        <v>269</v>
      </c>
      <c r="B255" s="87" t="s">
        <v>198</v>
      </c>
      <c r="C255" s="87">
        <v>93</v>
      </c>
      <c r="D255" s="87">
        <v>93</v>
      </c>
      <c r="E255" s="93"/>
      <c r="F255" s="87">
        <v>60</v>
      </c>
      <c r="G255" s="92" t="str">
        <f>HYPERLINK("https://www.abcfinancial.net/","https://www.abcfinancial.net/")</f>
        <v>https://www.abcfinancial.net/</v>
      </c>
      <c r="H255" s="87">
        <v>3</v>
      </c>
      <c r="I255" s="87">
        <v>0</v>
      </c>
      <c r="J255" s="87">
        <v>1</v>
      </c>
      <c r="K255" s="93">
        <v>44227.516516203701</v>
      </c>
      <c r="M255" s="87" t="s">
        <v>591</v>
      </c>
    </row>
    <row r="256" spans="1:13" x14ac:dyDescent="0.2">
      <c r="A256" s="87">
        <v>270</v>
      </c>
      <c r="B256" s="87" t="s">
        <v>342</v>
      </c>
      <c r="C256" s="87">
        <v>90</v>
      </c>
      <c r="D256" s="87">
        <v>93</v>
      </c>
      <c r="E256" s="93">
        <v>44218.808541666665</v>
      </c>
      <c r="F256" s="87">
        <v>30</v>
      </c>
      <c r="G256" s="92" t="str">
        <f>HYPERLINK("https://www.abcfinancial.net/lpl-research","https://www.abcfinancial.net/lpl-research")</f>
        <v>https://www.abcfinancial.net/lpl-research</v>
      </c>
      <c r="H256" s="87">
        <v>19</v>
      </c>
      <c r="I256" s="87">
        <v>0</v>
      </c>
      <c r="K256" s="93">
        <v>44245.948935185188</v>
      </c>
      <c r="M256" s="87" t="s">
        <v>610</v>
      </c>
    </row>
    <row r="257" spans="1:13" x14ac:dyDescent="0.2">
      <c r="A257" s="87">
        <v>271</v>
      </c>
      <c r="B257" s="87" t="s">
        <v>235</v>
      </c>
      <c r="C257" s="87">
        <v>94</v>
      </c>
      <c r="D257" s="87">
        <v>94</v>
      </c>
      <c r="E257" s="93"/>
      <c r="F257" s="87">
        <v>60</v>
      </c>
      <c r="G257" s="92" t="str">
        <f>HYPERLINK("https://www.abcfinancial.net/","https://www.abcfinancial.net/")</f>
        <v>https://www.abcfinancial.net/</v>
      </c>
      <c r="H257" s="87">
        <v>1</v>
      </c>
      <c r="I257" s="87">
        <v>0</v>
      </c>
      <c r="J257" s="87">
        <v>0.01</v>
      </c>
      <c r="K257" s="93">
        <v>44225.591550925928</v>
      </c>
      <c r="M257" s="87" t="s">
        <v>572</v>
      </c>
    </row>
    <row r="258" spans="1:13" x14ac:dyDescent="0.2">
      <c r="A258" s="87">
        <v>272</v>
      </c>
      <c r="B258" s="87" t="s">
        <v>162</v>
      </c>
      <c r="C258" s="87">
        <v>100</v>
      </c>
      <c r="D258" s="87">
        <v>100</v>
      </c>
      <c r="E258" s="93"/>
      <c r="F258" s="87">
        <v>200</v>
      </c>
      <c r="G258" s="92" t="str">
        <f>HYPERLINK("http://www.abcfinancial.net/resource-center/investment/the-abcs-of-zero-coupon-bonds","http://www.abcfinancial.net/resource-center/investment/the-abcs-of-zero-coupon-bonds")</f>
        <v>http://www.abcfinancial.net/resource-center/investment/the-abcs-of-zero-coupon-bonds</v>
      </c>
      <c r="H258" s="87">
        <v>9</v>
      </c>
      <c r="I258" s="87">
        <v>0</v>
      </c>
      <c r="J258" s="87">
        <v>2</v>
      </c>
      <c r="K258" s="93">
        <v>44240.372546296298</v>
      </c>
      <c r="M258" s="87" t="s">
        <v>571</v>
      </c>
    </row>
    <row r="259" spans="1:13" x14ac:dyDescent="0.2">
      <c r="A259" s="87">
        <v>274</v>
      </c>
      <c r="B259" s="87" t="s">
        <v>314</v>
      </c>
      <c r="C259" s="87">
        <v>93</v>
      </c>
      <c r="D259" s="87">
        <v>93</v>
      </c>
      <c r="F259" s="87">
        <v>40</v>
      </c>
      <c r="G259" s="92" t="str">
        <f>HYPERLINK("https://www.abcfinancial.net/resource-center/insurance/how-does-whole-life-insurance-work","https://www.abcfinancial.net/resource-center/insurance/how-does-whole-life-insurance-work")</f>
        <v>https://www.abcfinancial.net/resource-center/insurance/how-does-whole-life-insurance-work</v>
      </c>
      <c r="H259" s="87">
        <v>38</v>
      </c>
      <c r="I259" s="87">
        <v>0</v>
      </c>
      <c r="J259" s="87">
        <v>2</v>
      </c>
      <c r="K259" s="93">
        <v>44225.915543981479</v>
      </c>
      <c r="M259" s="87" t="s">
        <v>664</v>
      </c>
    </row>
    <row r="260" spans="1:13" x14ac:dyDescent="0.2">
      <c r="A260" s="87">
        <v>275</v>
      </c>
      <c r="B260" s="87" t="s">
        <v>236</v>
      </c>
      <c r="C260" s="87">
        <v>96</v>
      </c>
      <c r="D260" s="87">
        <v>96</v>
      </c>
      <c r="E260" s="93"/>
      <c r="F260" s="87">
        <v>80</v>
      </c>
      <c r="G260" s="92" t="str">
        <f>HYPERLINK("https://www.abcfinancial.net/tools/tax-resources/tax-calendar","https://www.abcfinancial.net/tools/tax-resources/tax-calendar")</f>
        <v>https://www.abcfinancial.net/tools/tax-resources/tax-calendar</v>
      </c>
      <c r="H260" s="87">
        <v>30</v>
      </c>
      <c r="I260" s="87">
        <v>0</v>
      </c>
      <c r="K260" s="93">
        <v>44242.026828703703</v>
      </c>
      <c r="M260" s="87" t="s">
        <v>600</v>
      </c>
    </row>
    <row r="261" spans="1:13" x14ac:dyDescent="0.2">
      <c r="A261" s="87">
        <v>276</v>
      </c>
      <c r="B261" s="87" t="s">
        <v>554</v>
      </c>
      <c r="C261" s="87">
        <v>89</v>
      </c>
      <c r="D261" s="87">
        <v>77</v>
      </c>
      <c r="E261" s="93">
        <v>44203.817384259259</v>
      </c>
      <c r="F261" s="87">
        <v>10</v>
      </c>
      <c r="G261" s="92" t="str">
        <f t="shared" ref="G261:G262" si="6">HYPERLINK("https://www.abcfinancial.net/blog/socially-responsible-investing","https://www.abcfinancial.net/blog/socially-responsible-investing")</f>
        <v>https://www.abcfinancial.net/blog/socially-responsible-investing</v>
      </c>
      <c r="H261" s="87">
        <v>40</v>
      </c>
      <c r="I261" s="87">
        <v>0</v>
      </c>
      <c r="K261" s="93">
        <v>44229.846504629626</v>
      </c>
      <c r="M261" s="87" t="s">
        <v>665</v>
      </c>
    </row>
    <row r="262" spans="1:13" x14ac:dyDescent="0.2">
      <c r="A262" s="87">
        <v>277</v>
      </c>
      <c r="B262" s="87" t="s">
        <v>398</v>
      </c>
      <c r="C262" s="87">
        <v>92</v>
      </c>
      <c r="D262" s="87">
        <v>95</v>
      </c>
      <c r="E262" s="93">
        <v>44202.940358796295</v>
      </c>
      <c r="F262" s="87">
        <v>20</v>
      </c>
      <c r="G262" s="92" t="str">
        <f t="shared" si="6"/>
        <v>https://www.abcfinancial.net/blog/socially-responsible-investing</v>
      </c>
      <c r="H262" s="87">
        <v>34</v>
      </c>
      <c r="I262" s="87">
        <v>0</v>
      </c>
      <c r="K262" s="93">
        <v>44228.808298611111</v>
      </c>
      <c r="M262" s="87" t="s">
        <v>666</v>
      </c>
    </row>
    <row r="263" spans="1:13" x14ac:dyDescent="0.2">
      <c r="A263" s="87">
        <v>278</v>
      </c>
      <c r="B263" s="87" t="s">
        <v>374</v>
      </c>
      <c r="C263" s="87">
        <v>92</v>
      </c>
      <c r="D263" s="87">
        <v>92</v>
      </c>
      <c r="E263" s="93"/>
      <c r="F263" s="87">
        <v>20</v>
      </c>
      <c r="G263" s="92" t="str">
        <f>HYPERLINK("https://www.abcfinancial.net/tax-planning-strategies","https://www.abcfinancial.net/tax-planning-strategies")</f>
        <v>https://www.abcfinancial.net/tax-planning-strategies</v>
      </c>
      <c r="H263" s="87">
        <v>39</v>
      </c>
      <c r="I263" s="87">
        <v>0</v>
      </c>
      <c r="J263" s="87">
        <v>9</v>
      </c>
      <c r="K263" s="93">
        <v>44236.940648148149</v>
      </c>
      <c r="M263" s="87" t="s">
        <v>656</v>
      </c>
    </row>
    <row r="264" spans="1:13" x14ac:dyDescent="0.2">
      <c r="A264" s="87">
        <v>279</v>
      </c>
      <c r="B264" s="87" t="s">
        <v>542</v>
      </c>
      <c r="C264" s="87">
        <v>91</v>
      </c>
      <c r="D264" s="87">
        <v>84</v>
      </c>
      <c r="E264" s="93">
        <v>44204.815532407411</v>
      </c>
      <c r="F264" s="87">
        <v>10</v>
      </c>
      <c r="G264" s="92" t="str">
        <f>HYPERLINK("https://www.abcfinancial.net/blog/6-ways-to-a-happier-retirement","https://www.abcfinancial.net/blog/6-ways-to-a-happier-retirement")</f>
        <v>https://www.abcfinancial.net/blog/6-ways-to-a-happier-retirement</v>
      </c>
      <c r="H264" s="87">
        <v>0</v>
      </c>
      <c r="I264" s="87">
        <v>0</v>
      </c>
      <c r="K264" s="93">
        <v>44230.178425925929</v>
      </c>
      <c r="M264" s="87" t="s">
        <v>570</v>
      </c>
    </row>
    <row r="265" spans="1:13" x14ac:dyDescent="0.2">
      <c r="A265" s="87">
        <v>280</v>
      </c>
      <c r="B265" s="87" t="s">
        <v>468</v>
      </c>
      <c r="C265" s="87">
        <v>94</v>
      </c>
      <c r="D265" s="87">
        <v>97</v>
      </c>
      <c r="E265" s="93">
        <v>44216.16265046296</v>
      </c>
      <c r="F265" s="87">
        <v>30</v>
      </c>
      <c r="G265" s="92" t="str">
        <f>HYPERLINK("https://www.abcfinancial.net/","https://www.abcfinancial.net/")</f>
        <v>https://www.abcfinancial.net/</v>
      </c>
      <c r="H265" s="87">
        <v>16</v>
      </c>
      <c r="I265" s="87">
        <v>0</v>
      </c>
      <c r="K265" s="93">
        <v>44241.611655092594</v>
      </c>
      <c r="M265" s="87" t="s">
        <v>625</v>
      </c>
    </row>
    <row r="266" spans="1:13" x14ac:dyDescent="0.2">
      <c r="A266" s="87">
        <v>281</v>
      </c>
      <c r="B266" s="87" t="s">
        <v>227</v>
      </c>
      <c r="C266" s="87">
        <v>97</v>
      </c>
      <c r="D266" s="87">
        <v>97</v>
      </c>
      <c r="E266" s="93"/>
      <c r="F266" s="87">
        <v>40</v>
      </c>
      <c r="G266" s="92" t="str">
        <f>HYPERLINK("https://www.abcfinancial.net/blog/evaluating-investment-risk","https://www.abcfinancial.net/blog/evaluating-investment-risk")</f>
        <v>https://www.abcfinancial.net/blog/evaluating-investment-risk</v>
      </c>
      <c r="H266" s="87">
        <v>10</v>
      </c>
      <c r="I266" s="87">
        <v>0</v>
      </c>
      <c r="K266" s="93">
        <v>44233.203587962962</v>
      </c>
      <c r="M266" s="87" t="s">
        <v>597</v>
      </c>
    </row>
    <row r="267" spans="1:13" x14ac:dyDescent="0.2">
      <c r="A267" s="87">
        <v>282</v>
      </c>
      <c r="B267" s="87" t="s">
        <v>469</v>
      </c>
      <c r="C267" s="87">
        <v>93</v>
      </c>
      <c r="D267" s="87">
        <v>73</v>
      </c>
      <c r="E267" s="93">
        <v>44207.887511574074</v>
      </c>
      <c r="F267" s="87">
        <v>20</v>
      </c>
      <c r="G267" s="92" t="str">
        <f>HYPERLINK("https://www.abcfinancial.net/resource-center/money/life-and-death-of-a-20-dollar-bill","https://www.abcfinancial.net/resource-center/money/life-and-death-of-a-20-dollar-bill")</f>
        <v>https://www.abcfinancial.net/resource-center/money/life-and-death-of-a-20-dollar-bill</v>
      </c>
      <c r="H267" s="87">
        <v>62</v>
      </c>
      <c r="I267" s="87">
        <v>0</v>
      </c>
      <c r="K267" s="93">
        <v>44233.967870370368</v>
      </c>
      <c r="M267" s="87" t="s">
        <v>573</v>
      </c>
    </row>
    <row r="268" spans="1:13" x14ac:dyDescent="0.2">
      <c r="A268" s="87">
        <v>283</v>
      </c>
      <c r="B268" s="87" t="s">
        <v>470</v>
      </c>
      <c r="C268" s="87">
        <v>92</v>
      </c>
      <c r="D268" s="87">
        <v>90</v>
      </c>
      <c r="E268" s="93">
        <v>44209.772175925929</v>
      </c>
      <c r="F268" s="87">
        <v>10</v>
      </c>
      <c r="G268" s="92" t="str">
        <f>HYPERLINK("https://www.abcfinancial.net/","https://www.abcfinancial.net/")</f>
        <v>https://www.abcfinancial.net/</v>
      </c>
      <c r="H268" s="87">
        <v>12</v>
      </c>
      <c r="I268" s="87">
        <v>0</v>
      </c>
      <c r="K268" s="93">
        <v>44236.633576388886</v>
      </c>
      <c r="M268" s="87" t="s">
        <v>608</v>
      </c>
    </row>
    <row r="269" spans="1:13" x14ac:dyDescent="0.2">
      <c r="A269" s="87">
        <v>284</v>
      </c>
      <c r="B269" s="87" t="s">
        <v>375</v>
      </c>
      <c r="C269" s="87">
        <v>93</v>
      </c>
      <c r="D269" s="87">
        <v>93</v>
      </c>
      <c r="F269" s="87">
        <v>20</v>
      </c>
      <c r="G269" s="92" t="str">
        <f t="shared" ref="G269:G271" si="7">HYPERLINK("https://www.abcfinancial.net/resource-center/money/life-and-death-of-a-20-dollar-bill","https://www.abcfinancial.net/resource-center/money/life-and-death-of-a-20-dollar-bill")</f>
        <v>https://www.abcfinancial.net/resource-center/money/life-and-death-of-a-20-dollar-bill</v>
      </c>
      <c r="H269" s="87">
        <v>0</v>
      </c>
      <c r="I269" s="87">
        <v>0</v>
      </c>
      <c r="K269" s="93">
        <v>44246.095034722224</v>
      </c>
      <c r="M269" s="87" t="s">
        <v>667</v>
      </c>
    </row>
    <row r="270" spans="1:13" x14ac:dyDescent="0.2">
      <c r="A270" s="87">
        <v>285</v>
      </c>
      <c r="B270" s="87" t="s">
        <v>376</v>
      </c>
      <c r="C270" s="87">
        <v>96</v>
      </c>
      <c r="D270" s="87">
        <v>96</v>
      </c>
      <c r="E270" s="93"/>
      <c r="F270" s="87">
        <v>30</v>
      </c>
      <c r="G270" s="92" t="str">
        <f t="shared" si="7"/>
        <v>https://www.abcfinancial.net/resource-center/money/life-and-death-of-a-20-dollar-bill</v>
      </c>
      <c r="H270" s="87">
        <v>11</v>
      </c>
      <c r="I270" s="87">
        <v>0</v>
      </c>
      <c r="J270" s="87">
        <v>0.03</v>
      </c>
      <c r="K270" s="93">
        <v>44234.816747685189</v>
      </c>
      <c r="M270" s="87" t="s">
        <v>668</v>
      </c>
    </row>
    <row r="271" spans="1:13" x14ac:dyDescent="0.2">
      <c r="A271" s="87">
        <v>286</v>
      </c>
      <c r="B271" s="87" t="s">
        <v>155</v>
      </c>
      <c r="C271" s="87">
        <v>96</v>
      </c>
      <c r="D271" s="87">
        <v>96</v>
      </c>
      <c r="E271" s="93"/>
      <c r="F271" s="87">
        <v>30</v>
      </c>
      <c r="G271" s="92" t="str">
        <f t="shared" si="7"/>
        <v>https://www.abcfinancial.net/resource-center/money/life-and-death-of-a-20-dollar-bill</v>
      </c>
      <c r="H271" s="87">
        <v>23</v>
      </c>
      <c r="I271" s="87">
        <v>0</v>
      </c>
      <c r="K271" s="93">
        <v>44233.241724537038</v>
      </c>
      <c r="M271" s="87" t="s">
        <v>613</v>
      </c>
    </row>
    <row r="272" spans="1:13" x14ac:dyDescent="0.2">
      <c r="A272" s="87">
        <v>287</v>
      </c>
      <c r="B272" s="87" t="s">
        <v>343</v>
      </c>
      <c r="C272" s="87">
        <v>95</v>
      </c>
      <c r="D272" s="87">
        <v>95</v>
      </c>
      <c r="E272" s="93"/>
      <c r="F272" s="87">
        <v>20</v>
      </c>
      <c r="G272" s="92" t="str">
        <f>HYPERLINK("https://www.abcfinancial.net/resource-center/tax/how-income-taxes-work","https://www.abcfinancial.net/resource-center/tax/how-income-taxes-work")</f>
        <v>https://www.abcfinancial.net/resource-center/tax/how-income-taxes-work</v>
      </c>
      <c r="H272" s="87">
        <v>28</v>
      </c>
      <c r="I272" s="87">
        <v>0</v>
      </c>
      <c r="K272" s="93">
        <v>44225.241423611114</v>
      </c>
      <c r="M272" s="87" t="s">
        <v>612</v>
      </c>
    </row>
    <row r="273" spans="1:13" x14ac:dyDescent="0.2">
      <c r="A273" s="87">
        <v>288</v>
      </c>
      <c r="B273" s="87" t="s">
        <v>432</v>
      </c>
      <c r="C273" s="87">
        <v>96</v>
      </c>
      <c r="D273" s="87">
        <v>96</v>
      </c>
      <c r="E273" s="93"/>
      <c r="F273" s="87">
        <v>20</v>
      </c>
      <c r="G273" s="92" t="str">
        <f>HYPERLINK("https://www.abcfinancial.net/tools/glossary","https://www.abcfinancial.net/tools/glossary")</f>
        <v>https://www.abcfinancial.net/tools/glossary</v>
      </c>
      <c r="H273" s="87">
        <v>71</v>
      </c>
      <c r="I273" s="87">
        <v>0</v>
      </c>
      <c r="K273" s="93">
        <v>44240.69258101852</v>
      </c>
      <c r="M273" s="87" t="s">
        <v>588</v>
      </c>
    </row>
    <row r="274" spans="1:13" x14ac:dyDescent="0.2">
      <c r="A274" s="87">
        <v>289</v>
      </c>
      <c r="B274" s="87" t="s">
        <v>95</v>
      </c>
      <c r="C274" s="87">
        <v>97</v>
      </c>
      <c r="D274" s="87">
        <v>97</v>
      </c>
      <c r="E274" s="93"/>
      <c r="F274" s="87">
        <v>30</v>
      </c>
      <c r="G274" s="92" t="str">
        <f>HYPERLINK("https://www.abcfinancial.net/resource-center/retirement/what-is-a-roth-401k","https://www.abcfinancial.net/resource-center/retirement/what-is-a-roth-401k")</f>
        <v>https://www.abcfinancial.net/resource-center/retirement/what-is-a-roth-401k</v>
      </c>
      <c r="H274" s="87">
        <v>30</v>
      </c>
      <c r="I274" s="87">
        <v>0</v>
      </c>
      <c r="K274" s="93">
        <v>44201.859629629631</v>
      </c>
      <c r="M274" s="87" t="s">
        <v>588</v>
      </c>
    </row>
    <row r="275" spans="1:13" x14ac:dyDescent="0.2">
      <c r="A275" s="87">
        <v>290</v>
      </c>
      <c r="B275" s="87" t="s">
        <v>433</v>
      </c>
      <c r="C275" s="87">
        <v>97</v>
      </c>
      <c r="D275" s="87">
        <v>97</v>
      </c>
      <c r="E275" s="93"/>
      <c r="F275" s="87">
        <v>20</v>
      </c>
      <c r="G275" s="92" t="str">
        <f>HYPERLINK("https://www.abcfinancial.net/blog/when-will-the-recession-officially-start","https://www.abcfinancial.net/blog/when-will-the-recession-officially-start")</f>
        <v>https://www.abcfinancial.net/blog/when-will-the-recession-officially-start</v>
      </c>
      <c r="H275" s="87">
        <v>83</v>
      </c>
      <c r="I275" s="87">
        <v>0</v>
      </c>
      <c r="K275" s="93">
        <v>44240.813055555554</v>
      </c>
      <c r="M275" s="87" t="s">
        <v>613</v>
      </c>
    </row>
    <row r="276" spans="1:13" x14ac:dyDescent="0.2">
      <c r="A276" s="87">
        <v>291</v>
      </c>
      <c r="B276" s="87" t="s">
        <v>399</v>
      </c>
      <c r="C276" s="87">
        <v>98</v>
      </c>
      <c r="D276" s="87">
        <v>71</v>
      </c>
      <c r="E276" s="93">
        <v>44220.56355324074</v>
      </c>
      <c r="F276" s="87">
        <v>30</v>
      </c>
      <c r="G276" s="92" t="str">
        <f>HYPERLINK("https://www.abcfinancial.net/resource-center/money/life-and-death-of-a-20-dollar-bill","https://www.abcfinancial.net/resource-center/money/life-and-death-of-a-20-dollar-bill")</f>
        <v>https://www.abcfinancial.net/resource-center/money/life-and-death-of-a-20-dollar-bill</v>
      </c>
      <c r="H276" s="87">
        <v>10</v>
      </c>
      <c r="I276" s="87">
        <v>0</v>
      </c>
      <c r="K276" s="93">
        <v>44247.723425925928</v>
      </c>
      <c r="M276" s="87" t="s">
        <v>669</v>
      </c>
    </row>
    <row r="277" spans="1:13" x14ac:dyDescent="0.2">
      <c r="A277" s="87">
        <v>292</v>
      </c>
      <c r="B277" s="87" t="s">
        <v>434</v>
      </c>
      <c r="C277" s="87">
        <v>98</v>
      </c>
      <c r="D277" s="87">
        <v>31</v>
      </c>
      <c r="E277" s="93">
        <v>44215.945162037038</v>
      </c>
      <c r="F277" s="87">
        <v>30</v>
      </c>
      <c r="G277" s="92" t="str">
        <f>HYPERLINK("https://www.abcfinancial.net/resource-center/money/pay-yourself-first","https://www.abcfinancial.net/resource-center/money/pay-yourself-first")</f>
        <v>https://www.abcfinancial.net/resource-center/money/pay-yourself-first</v>
      </c>
      <c r="H277" s="87">
        <v>22</v>
      </c>
      <c r="I277" s="87">
        <v>0</v>
      </c>
      <c r="K277" s="93">
        <v>44240.320173611108</v>
      </c>
      <c r="M277" s="87" t="s">
        <v>633</v>
      </c>
    </row>
    <row r="278" spans="1:13" x14ac:dyDescent="0.2">
      <c r="A278" s="87">
        <v>293</v>
      </c>
      <c r="B278" s="87" t="s">
        <v>125</v>
      </c>
      <c r="C278" s="87">
        <v>99</v>
      </c>
      <c r="D278" s="87">
        <v>99</v>
      </c>
      <c r="E278" s="93"/>
      <c r="F278" s="87">
        <v>40</v>
      </c>
      <c r="G278" s="92" t="str">
        <f>HYPERLINK("http://www.abcfinancial.net/resource-center/investment/where-is-the-market-headed","http://www.abcfinancial.net/resource-center/investment/where-is-the-market-headed")</f>
        <v>http://www.abcfinancial.net/resource-center/investment/where-is-the-market-headed</v>
      </c>
      <c r="H278" s="87">
        <v>16</v>
      </c>
      <c r="I278" s="87">
        <v>0</v>
      </c>
      <c r="K278" s="93">
        <v>44233.901747685188</v>
      </c>
      <c r="M278" s="87" t="s">
        <v>608</v>
      </c>
    </row>
    <row r="279" spans="1:13" x14ac:dyDescent="0.2">
      <c r="A279" s="87">
        <v>294</v>
      </c>
      <c r="B279" s="87" t="s">
        <v>287</v>
      </c>
      <c r="C279" s="87">
        <v>97</v>
      </c>
      <c r="D279" s="87">
        <v>97</v>
      </c>
      <c r="E279" s="93"/>
      <c r="F279" s="87">
        <v>20</v>
      </c>
      <c r="G279" s="92" t="str">
        <f t="shared" ref="G279:G280" si="8">HYPERLINK("https://www.abcfinancial.net/","https://www.abcfinancial.net/")</f>
        <v>https://www.abcfinancial.net/</v>
      </c>
      <c r="H279" s="87">
        <v>4</v>
      </c>
      <c r="I279" s="87">
        <v>0</v>
      </c>
      <c r="K279" s="93">
        <v>44222.709513888891</v>
      </c>
      <c r="M279" s="87" t="s">
        <v>670</v>
      </c>
    </row>
    <row r="280" spans="1:13" x14ac:dyDescent="0.2">
      <c r="A280" s="87">
        <v>295</v>
      </c>
      <c r="B280" s="87" t="s">
        <v>88</v>
      </c>
      <c r="C280" s="87">
        <v>98</v>
      </c>
      <c r="D280" s="87">
        <v>98</v>
      </c>
      <c r="E280" s="93"/>
      <c r="F280" s="87">
        <v>100</v>
      </c>
      <c r="G280" s="92" t="str">
        <f t="shared" si="8"/>
        <v>https://www.abcfinancial.net/</v>
      </c>
      <c r="H280" s="87">
        <v>25</v>
      </c>
      <c r="I280" s="87">
        <v>0</v>
      </c>
      <c r="K280" s="93">
        <v>44239.373877314814</v>
      </c>
      <c r="M280" s="87" t="s">
        <v>594</v>
      </c>
    </row>
    <row r="281" spans="1:13" x14ac:dyDescent="0.2">
      <c r="A281" s="87">
        <v>296</v>
      </c>
      <c r="B281" s="87" t="s">
        <v>330</v>
      </c>
      <c r="C281" s="87">
        <v>99</v>
      </c>
      <c r="D281" s="87">
        <v>90</v>
      </c>
      <c r="E281" s="93">
        <v>44207.539421296293</v>
      </c>
      <c r="F281" s="87">
        <v>30</v>
      </c>
      <c r="G281" s="92" t="str">
        <f>HYPERLINK("https://www.abcfinancial.net/resource-center/tax/how-income-taxes-work","https://www.abcfinancial.net/resource-center/tax/how-income-taxes-work")</f>
        <v>https://www.abcfinancial.net/resource-center/tax/how-income-taxes-work</v>
      </c>
      <c r="H281" s="87">
        <v>36</v>
      </c>
      <c r="I281" s="87">
        <v>0</v>
      </c>
      <c r="K281" s="93">
        <v>44233.440972222219</v>
      </c>
      <c r="M281" s="87" t="s">
        <v>633</v>
      </c>
    </row>
    <row r="282" spans="1:13" x14ac:dyDescent="0.2">
      <c r="A282" s="87">
        <v>297</v>
      </c>
      <c r="B282" s="87" t="s">
        <v>435</v>
      </c>
      <c r="C282" s="87">
        <v>98</v>
      </c>
      <c r="D282" s="87">
        <v>98</v>
      </c>
      <c r="E282" s="93"/>
      <c r="F282" s="87">
        <v>20</v>
      </c>
      <c r="G282" s="92" t="str">
        <f>HYPERLINK("https://www.abcfinancial.net/resource-center/insurance/how-does-whole-life-insurance-work","https://www.abcfinancial.net/resource-center/insurance/how-does-whole-life-insurance-work")</f>
        <v>https://www.abcfinancial.net/resource-center/insurance/how-does-whole-life-insurance-work</v>
      </c>
      <c r="H282" s="87">
        <v>29</v>
      </c>
      <c r="I282" s="87">
        <v>0</v>
      </c>
      <c r="J282" s="87">
        <v>30</v>
      </c>
      <c r="K282" s="93">
        <v>44229.023368055554</v>
      </c>
      <c r="M282" s="87" t="s">
        <v>603</v>
      </c>
    </row>
    <row r="283" spans="1:13" x14ac:dyDescent="0.2">
      <c r="A283" s="87">
        <v>298</v>
      </c>
      <c r="B283" s="87" t="s">
        <v>400</v>
      </c>
      <c r="C283" s="87">
        <v>97</v>
      </c>
      <c r="D283" s="87">
        <v>97</v>
      </c>
      <c r="E283" s="93"/>
      <c r="F283" s="87">
        <v>20</v>
      </c>
      <c r="G283" s="92" t="str">
        <f t="shared" ref="G283:G285" si="9">HYPERLINK("https://www.abcfinancial.net/","https://www.abcfinancial.net/")</f>
        <v>https://www.abcfinancial.net/</v>
      </c>
      <c r="H283" s="87">
        <v>40</v>
      </c>
      <c r="I283" s="87">
        <v>0</v>
      </c>
      <c r="J283" s="87">
        <v>0.7</v>
      </c>
      <c r="K283" s="93">
        <v>44231.447384259256</v>
      </c>
      <c r="M283" s="87" t="s">
        <v>671</v>
      </c>
    </row>
    <row r="284" spans="1:13" x14ac:dyDescent="0.2">
      <c r="A284" s="87">
        <v>299</v>
      </c>
      <c r="B284" s="87" t="s">
        <v>137</v>
      </c>
      <c r="C284" s="87">
        <v>100</v>
      </c>
      <c r="D284" s="87">
        <v>100</v>
      </c>
      <c r="E284" s="93"/>
      <c r="F284" s="87">
        <v>20</v>
      </c>
      <c r="G284" s="92" t="str">
        <f t="shared" si="9"/>
        <v>https://www.abcfinancial.net/</v>
      </c>
      <c r="H284" s="87">
        <v>21</v>
      </c>
      <c r="I284" s="87">
        <v>0</v>
      </c>
      <c r="J284" s="87">
        <v>4</v>
      </c>
      <c r="K284" s="93">
        <v>44241.09684027778</v>
      </c>
      <c r="M284" s="87" t="s">
        <v>625</v>
      </c>
    </row>
    <row r="285" spans="1:13" x14ac:dyDescent="0.2">
      <c r="A285" s="87">
        <v>300</v>
      </c>
      <c r="B285" s="87" t="s">
        <v>471</v>
      </c>
      <c r="C285" s="87">
        <v>100</v>
      </c>
      <c r="D285" s="87">
        <v>100</v>
      </c>
      <c r="F285" s="87">
        <v>10</v>
      </c>
      <c r="G285" s="92" t="str">
        <f t="shared" si="9"/>
        <v>https://www.abcfinancial.net/</v>
      </c>
      <c r="H285" s="87">
        <v>0</v>
      </c>
      <c r="I285" s="87">
        <v>0</v>
      </c>
      <c r="K285" s="93">
        <v>44227.44027777778</v>
      </c>
      <c r="M285" s="87" t="s">
        <v>604</v>
      </c>
    </row>
    <row r="286" spans="1:13" x14ac:dyDescent="0.2">
      <c r="A286" s="87">
        <v>301</v>
      </c>
      <c r="B286" s="87" t="s">
        <v>75</v>
      </c>
      <c r="C286" s="87">
        <v>97</v>
      </c>
      <c r="D286" s="87">
        <v>97</v>
      </c>
      <c r="F286" s="87">
        <v>20</v>
      </c>
      <c r="G286" s="92" t="str">
        <f>HYPERLINK("https://www.abcfinancial.net/resource-center/tax/how-income-taxes-work","https://www.abcfinancial.net/resource-center/tax/how-income-taxes-work")</f>
        <v>https://www.abcfinancial.net/resource-center/tax/how-income-taxes-work</v>
      </c>
      <c r="H286" s="87">
        <v>49</v>
      </c>
      <c r="I286" s="87">
        <v>0</v>
      </c>
      <c r="J286" s="87">
        <v>2.5</v>
      </c>
      <c r="K286" s="93">
        <v>44245.943935185183</v>
      </c>
      <c r="M286" s="87" t="s">
        <v>582</v>
      </c>
    </row>
    <row r="287" spans="1:13" x14ac:dyDescent="0.2">
      <c r="A287" s="87">
        <v>303</v>
      </c>
      <c r="B287" s="87" t="s">
        <v>85</v>
      </c>
      <c r="C287" s="87">
        <v>76</v>
      </c>
      <c r="D287" s="87">
        <v>77</v>
      </c>
      <c r="E287" s="93">
        <v>44245.209606481483</v>
      </c>
      <c r="F287" s="87">
        <v>2800</v>
      </c>
      <c r="G287" s="92" t="str">
        <f>HYPERLINK("https://www.abcfinancial.net/blog/three-steps-to-build-your-savings","https://www.abcfinancial.net/blog/three-steps-to-build-your-savings")</f>
        <v>https://www.abcfinancial.net/blog/three-steps-to-build-your-savings</v>
      </c>
      <c r="H287" s="87">
        <v>59</v>
      </c>
      <c r="I287" s="87">
        <v>0</v>
      </c>
      <c r="J287" s="87">
        <v>5</v>
      </c>
      <c r="K287" s="93">
        <v>44247.477685185186</v>
      </c>
      <c r="M287" s="87" t="s">
        <v>640</v>
      </c>
    </row>
    <row r="288" spans="1:13" x14ac:dyDescent="0.2">
      <c r="A288" s="87">
        <v>304</v>
      </c>
      <c r="B288" s="87" t="s">
        <v>71</v>
      </c>
      <c r="C288" s="87">
        <v>30</v>
      </c>
      <c r="D288" s="87">
        <v>32</v>
      </c>
      <c r="E288" s="93">
        <v>44246.436053240737</v>
      </c>
      <c r="F288" s="87">
        <v>8500</v>
      </c>
      <c r="G288" s="92" t="str">
        <f>HYPERLINK("https://www.abcfinancial.net/team/mike-rogers-1","https://www.abcfinancial.net/team/mike-rogers-1")</f>
        <v>https://www.abcfinancial.net/team/mike-rogers-1</v>
      </c>
      <c r="H288" s="87">
        <v>42</v>
      </c>
      <c r="I288" s="87">
        <v>0</v>
      </c>
      <c r="J288" s="87">
        <v>0.15</v>
      </c>
      <c r="K288" s="93">
        <v>44248.539548611108</v>
      </c>
      <c r="M288" s="87" t="s">
        <v>601</v>
      </c>
    </row>
    <row r="289" spans="1:13" x14ac:dyDescent="0.2">
      <c r="A289" s="87">
        <v>305</v>
      </c>
      <c r="B289" s="87" t="s">
        <v>97</v>
      </c>
      <c r="C289" s="87">
        <v>92</v>
      </c>
      <c r="D289" s="87">
        <v>92</v>
      </c>
      <c r="E289" s="93"/>
      <c r="F289" s="87">
        <v>350</v>
      </c>
      <c r="G289" s="92" t="str">
        <f>HYPERLINK("https://www.abcfinancial.net/resource-center/retirement/my-retirement-savings","https://www.abcfinancial.net/resource-center/retirement/my-retirement-savings")</f>
        <v>https://www.abcfinancial.net/resource-center/retirement/my-retirement-savings</v>
      </c>
      <c r="H289" s="87">
        <v>64</v>
      </c>
      <c r="I289" s="87">
        <v>0</v>
      </c>
      <c r="J289" s="87">
        <v>4.5</v>
      </c>
      <c r="K289" s="93">
        <v>44246.49015046296</v>
      </c>
      <c r="M289" s="87" t="s">
        <v>640</v>
      </c>
    </row>
    <row r="290" spans="1:13" x14ac:dyDescent="0.2">
      <c r="A290" s="87">
        <v>306</v>
      </c>
      <c r="B290" s="87" t="s">
        <v>120</v>
      </c>
      <c r="C290" s="87">
        <v>26</v>
      </c>
      <c r="D290" s="87">
        <v>29</v>
      </c>
      <c r="E290" s="93">
        <v>44221.225555555553</v>
      </c>
      <c r="F290" s="87">
        <v>200</v>
      </c>
      <c r="G290" s="92" t="str">
        <f>HYPERLINK("https://www.abcfinancial.net/resource-center/money","https://www.abcfinancial.net/resource-center/money")</f>
        <v>https://www.abcfinancial.net/resource-center/money</v>
      </c>
      <c r="H290" s="87">
        <v>1</v>
      </c>
      <c r="I290" s="87">
        <v>0</v>
      </c>
      <c r="K290" s="93">
        <v>44248.607037037036</v>
      </c>
      <c r="M290" s="87" t="s">
        <v>672</v>
      </c>
    </row>
    <row r="291" spans="1:13" x14ac:dyDescent="0.2">
      <c r="A291" s="87">
        <v>307</v>
      </c>
      <c r="B291" s="87" t="s">
        <v>94</v>
      </c>
      <c r="C291" s="87">
        <v>65</v>
      </c>
      <c r="D291" s="87">
        <v>65</v>
      </c>
      <c r="F291" s="87">
        <v>500</v>
      </c>
      <c r="G291" s="92" t="str">
        <f>HYPERLINK("http://www.abcfinancial.net/resource-center/money/spotting-credit-trouble","http://www.abcfinancial.net/resource-center/money/spotting-credit-trouble")</f>
        <v>http://www.abcfinancial.net/resource-center/money/spotting-credit-trouble</v>
      </c>
      <c r="H291" s="87">
        <v>32</v>
      </c>
      <c r="I291" s="87">
        <v>0</v>
      </c>
      <c r="J291" s="87">
        <v>6</v>
      </c>
      <c r="K291" s="93">
        <v>44241.850243055553</v>
      </c>
      <c r="M291" s="87" t="s">
        <v>568</v>
      </c>
    </row>
    <row r="292" spans="1:13" x14ac:dyDescent="0.2">
      <c r="A292" s="87">
        <v>309</v>
      </c>
      <c r="B292" s="87" t="s">
        <v>145</v>
      </c>
      <c r="C292" s="87">
        <v>30</v>
      </c>
      <c r="D292" s="87">
        <v>24</v>
      </c>
      <c r="E292" s="93">
        <v>44212.79519675926</v>
      </c>
      <c r="F292" s="87">
        <v>100</v>
      </c>
      <c r="G292" s="92" t="str">
        <f>HYPERLINK("https://www.abcfinancial.net/blog/what-gen-xers-millennials-and-baby-boomers-need-to-know-about-financial-p","https://www.abcfinancial.net/blog/what-gen-xers-millennials-and-baby-boomers-need-to-know-about-financial-p")</f>
        <v>https://www.abcfinancial.net/blog/what-gen-xers-millennials-and-baby-boomers-need-to-know-about-financial-p</v>
      </c>
      <c r="H292" s="87">
        <v>10</v>
      </c>
      <c r="I292" s="87">
        <v>0</v>
      </c>
      <c r="J292" s="87">
        <v>0.2</v>
      </c>
      <c r="K292" s="93">
        <v>44238.635949074072</v>
      </c>
      <c r="M292" s="87" t="s">
        <v>673</v>
      </c>
    </row>
    <row r="293" spans="1:13" x14ac:dyDescent="0.2">
      <c r="A293" s="87">
        <v>310</v>
      </c>
      <c r="B293" s="87" t="s">
        <v>92</v>
      </c>
      <c r="C293" s="87">
        <v>44</v>
      </c>
      <c r="D293" s="87">
        <v>44</v>
      </c>
      <c r="E293" s="93"/>
      <c r="F293" s="87">
        <v>800</v>
      </c>
      <c r="G293" s="92" t="str">
        <f>HYPERLINK("https://www.abcfinancial.net/resource-center/insurance/how-does-whole-life-insurance-work","https://www.abcfinancial.net/resource-center/insurance/how-does-whole-life-insurance-work")</f>
        <v>https://www.abcfinancial.net/resource-center/insurance/how-does-whole-life-insurance-work</v>
      </c>
      <c r="H293" s="87">
        <v>53</v>
      </c>
      <c r="I293" s="87">
        <v>0</v>
      </c>
      <c r="J293" s="87">
        <v>0.2</v>
      </c>
      <c r="K293" s="93">
        <v>44248.588055555556</v>
      </c>
      <c r="M293" s="87" t="s">
        <v>633</v>
      </c>
    </row>
    <row r="294" spans="1:13" x14ac:dyDescent="0.2">
      <c r="A294" s="87">
        <v>311</v>
      </c>
      <c r="B294" s="87" t="s">
        <v>99</v>
      </c>
      <c r="C294" s="87">
        <v>82</v>
      </c>
      <c r="D294" s="87">
        <v>82</v>
      </c>
      <c r="F294" s="87">
        <v>500</v>
      </c>
      <c r="G294" s="92" t="str">
        <f>HYPERLINK("https://www.abcfinancial.net/resource-center/tax/how-income-taxes-work","https://www.abcfinancial.net/resource-center/tax/how-income-taxes-work")</f>
        <v>https://www.abcfinancial.net/resource-center/tax/how-income-taxes-work</v>
      </c>
      <c r="H294" s="87">
        <v>42</v>
      </c>
      <c r="I294" s="87">
        <v>0</v>
      </c>
      <c r="J294" s="87">
        <v>1.3</v>
      </c>
      <c r="K294" s="93">
        <v>44245.099270833336</v>
      </c>
      <c r="M294" s="87" t="s">
        <v>674</v>
      </c>
    </row>
    <row r="295" spans="1:13" x14ac:dyDescent="0.2">
      <c r="A295" s="87">
        <v>312</v>
      </c>
      <c r="B295" s="87" t="s">
        <v>288</v>
      </c>
      <c r="C295" s="87">
        <v>37</v>
      </c>
      <c r="D295" s="87">
        <v>37</v>
      </c>
      <c r="E295" s="93"/>
      <c r="F295" s="87">
        <v>80</v>
      </c>
      <c r="G295" s="92" t="str">
        <f>HYPERLINK("https://www.abcfinancial.net/resource-center/investment/inflation-and-your-portfolio","https://www.abcfinancial.net/resource-center/investment/inflation-and-your-portfolio")</f>
        <v>https://www.abcfinancial.net/resource-center/investment/inflation-and-your-portfolio</v>
      </c>
      <c r="H295" s="87">
        <v>2</v>
      </c>
      <c r="I295" s="87">
        <v>0</v>
      </c>
      <c r="K295" s="93">
        <v>44247.034618055557</v>
      </c>
      <c r="M295" s="87" t="s">
        <v>610</v>
      </c>
    </row>
    <row r="296" spans="1:13" x14ac:dyDescent="0.2">
      <c r="A296" s="87">
        <v>313</v>
      </c>
      <c r="B296" s="87" t="s">
        <v>130</v>
      </c>
      <c r="C296" s="87">
        <v>92</v>
      </c>
      <c r="D296" s="87">
        <v>92</v>
      </c>
      <c r="E296" s="93"/>
      <c r="F296" s="87">
        <v>350</v>
      </c>
      <c r="G296" s="92" t="str">
        <f>HYPERLINK("https://www.abcfinancial.net/blog/abc-financial-acquires-true-north-capital-alliance","https://www.abcfinancial.net/blog/abc-financial-acquires-true-north-capital-alliance")</f>
        <v>https://www.abcfinancial.net/blog/abc-financial-acquires-true-north-capital-alliance</v>
      </c>
      <c r="H296" s="87">
        <v>33</v>
      </c>
      <c r="I296" s="87">
        <v>0</v>
      </c>
      <c r="J296" s="87">
        <v>1.6</v>
      </c>
      <c r="K296" s="93">
        <v>44225.140520833331</v>
      </c>
      <c r="M296" s="87" t="s">
        <v>568</v>
      </c>
    </row>
    <row r="297" spans="1:13" x14ac:dyDescent="0.2">
      <c r="A297" s="87">
        <v>314</v>
      </c>
      <c r="B297" s="87" t="s">
        <v>149</v>
      </c>
      <c r="C297" s="87">
        <v>95</v>
      </c>
      <c r="D297" s="87">
        <v>98</v>
      </c>
      <c r="E297" s="93">
        <v>44194.384189814817</v>
      </c>
      <c r="F297" s="87">
        <v>200</v>
      </c>
      <c r="G297" s="92" t="str">
        <f>HYPERLINK("https://www.abcfinancial.net/partnership-with-lpl-kf26a","https://www.abcfinancial.net/partnership-with-lpl-kf26a")</f>
        <v>https://www.abcfinancial.net/partnership-with-lpl-kf26a</v>
      </c>
      <c r="H297" s="87">
        <v>57</v>
      </c>
      <c r="I297" s="87">
        <v>0</v>
      </c>
      <c r="K297" s="93">
        <v>44221.505972222221</v>
      </c>
      <c r="M297" s="87" t="s">
        <v>572</v>
      </c>
    </row>
    <row r="316" spans="5:11" x14ac:dyDescent="0.2">
      <c r="E316" s="93"/>
      <c r="K316" s="93"/>
    </row>
    <row r="317" spans="5:11" x14ac:dyDescent="0.2">
      <c r="E317" s="93"/>
      <c r="K317" s="93"/>
    </row>
    <row r="318" spans="5:11" x14ac:dyDescent="0.2">
      <c r="E318" s="93"/>
      <c r="K318" s="93"/>
    </row>
    <row r="319" spans="5:11" x14ac:dyDescent="0.2">
      <c r="K319" s="93"/>
    </row>
    <row r="320" spans="5:11" x14ac:dyDescent="0.2">
      <c r="E320" s="93"/>
      <c r="K320" s="93"/>
    </row>
    <row r="321" spans="5:11" x14ac:dyDescent="0.2">
      <c r="E321" s="93"/>
      <c r="K321" s="93"/>
    </row>
    <row r="322" spans="5:11" x14ac:dyDescent="0.2">
      <c r="E322" s="93"/>
      <c r="K322" s="93"/>
    </row>
    <row r="323" spans="5:11" x14ac:dyDescent="0.2">
      <c r="E323" s="93"/>
      <c r="K323" s="93"/>
    </row>
    <row r="324" spans="5:11" x14ac:dyDescent="0.2">
      <c r="K324" s="93"/>
    </row>
    <row r="325" spans="5:11" x14ac:dyDescent="0.2">
      <c r="E325" s="93"/>
      <c r="K325" s="93"/>
    </row>
    <row r="326" spans="5:11" x14ac:dyDescent="0.2">
      <c r="E326" s="93"/>
      <c r="K326" s="93"/>
    </row>
    <row r="327" spans="5:11" x14ac:dyDescent="0.2">
      <c r="E327" s="93"/>
      <c r="K327" s="93"/>
    </row>
    <row r="328" spans="5:11" x14ac:dyDescent="0.2">
      <c r="E328" s="93"/>
      <c r="K328" s="93"/>
    </row>
    <row r="329" spans="5:11" x14ac:dyDescent="0.2">
      <c r="E329" s="93"/>
      <c r="K329" s="93"/>
    </row>
    <row r="330" spans="5:11" x14ac:dyDescent="0.2">
      <c r="E330" s="93"/>
      <c r="K330" s="93"/>
    </row>
    <row r="331" spans="5:11" x14ac:dyDescent="0.2">
      <c r="E331" s="93"/>
      <c r="K331" s="93"/>
    </row>
    <row r="332" spans="5:11" x14ac:dyDescent="0.2">
      <c r="E332" s="93"/>
      <c r="K332" s="93"/>
    </row>
    <row r="333" spans="5:11" x14ac:dyDescent="0.2">
      <c r="K333" s="93"/>
    </row>
    <row r="334" spans="5:11" x14ac:dyDescent="0.2">
      <c r="K334" s="93"/>
    </row>
    <row r="335" spans="5:11" x14ac:dyDescent="0.2">
      <c r="E335" s="93"/>
      <c r="K335" s="93"/>
    </row>
    <row r="336" spans="5:11" x14ac:dyDescent="0.2">
      <c r="E336" s="93"/>
      <c r="K336" s="93"/>
    </row>
    <row r="337" spans="5:11" x14ac:dyDescent="0.2">
      <c r="E337" s="93"/>
      <c r="K337" s="93"/>
    </row>
    <row r="338" spans="5:11" x14ac:dyDescent="0.2">
      <c r="K338" s="93"/>
    </row>
    <row r="339" spans="5:11" x14ac:dyDescent="0.2">
      <c r="E339" s="93"/>
      <c r="K339" s="93"/>
    </row>
    <row r="340" spans="5:11" x14ac:dyDescent="0.2">
      <c r="E340" s="93"/>
      <c r="K340" s="93"/>
    </row>
    <row r="341" spans="5:11" x14ac:dyDescent="0.2">
      <c r="K341" s="93"/>
    </row>
    <row r="342" spans="5:11" x14ac:dyDescent="0.2">
      <c r="E342" s="93"/>
      <c r="K342" s="93"/>
    </row>
    <row r="343" spans="5:11" x14ac:dyDescent="0.2">
      <c r="E343" s="93"/>
      <c r="K343" s="93"/>
    </row>
    <row r="344" spans="5:11" x14ac:dyDescent="0.2">
      <c r="E344" s="93"/>
      <c r="K344" s="93"/>
    </row>
    <row r="345" spans="5:11" x14ac:dyDescent="0.2">
      <c r="E345" s="93"/>
      <c r="K345" s="93"/>
    </row>
    <row r="346" spans="5:11" x14ac:dyDescent="0.2">
      <c r="E346" s="93"/>
      <c r="K346" s="93"/>
    </row>
    <row r="347" spans="5:11" x14ac:dyDescent="0.2">
      <c r="E347" s="93"/>
      <c r="K347" s="93"/>
    </row>
    <row r="348" spans="5:11" x14ac:dyDescent="0.2">
      <c r="K348" s="93"/>
    </row>
    <row r="349" spans="5:11" x14ac:dyDescent="0.2">
      <c r="E349" s="93"/>
      <c r="K349" s="93"/>
    </row>
    <row r="350" spans="5:11" x14ac:dyDescent="0.2">
      <c r="E350" s="93"/>
      <c r="K350" s="93"/>
    </row>
    <row r="351" spans="5:11" x14ac:dyDescent="0.2">
      <c r="E351" s="93"/>
      <c r="K351" s="93"/>
    </row>
    <row r="352" spans="5:11" x14ac:dyDescent="0.2">
      <c r="E352" s="93"/>
      <c r="K352" s="93"/>
    </row>
    <row r="353" spans="5:11" x14ac:dyDescent="0.2">
      <c r="E353" s="93"/>
      <c r="K353" s="93"/>
    </row>
    <row r="354" spans="5:11" x14ac:dyDescent="0.2">
      <c r="E354" s="93"/>
      <c r="K354" s="93"/>
    </row>
    <row r="355" spans="5:11" x14ac:dyDescent="0.2">
      <c r="E355" s="93"/>
      <c r="K355" s="93"/>
    </row>
    <row r="356" spans="5:11" x14ac:dyDescent="0.2">
      <c r="E356" s="93"/>
      <c r="K356" s="93"/>
    </row>
    <row r="357" spans="5:11" x14ac:dyDescent="0.2">
      <c r="E357" s="93"/>
      <c r="K357" s="93"/>
    </row>
    <row r="358" spans="5:11" x14ac:dyDescent="0.2">
      <c r="K358" s="93"/>
    </row>
    <row r="359" spans="5:11" x14ac:dyDescent="0.2">
      <c r="K359" s="93"/>
    </row>
    <row r="360" spans="5:11" x14ac:dyDescent="0.2">
      <c r="E360" s="93"/>
      <c r="K360" s="93"/>
    </row>
    <row r="361" spans="5:11" x14ac:dyDescent="0.2">
      <c r="E361" s="93"/>
      <c r="K361" s="93"/>
    </row>
    <row r="362" spans="5:11" x14ac:dyDescent="0.2">
      <c r="E362" s="93"/>
      <c r="K362" s="93"/>
    </row>
    <row r="363" spans="5:11" x14ac:dyDescent="0.2">
      <c r="E363" s="93"/>
      <c r="K363" s="93"/>
    </row>
    <row r="364" spans="5:11" x14ac:dyDescent="0.2">
      <c r="E364" s="93"/>
      <c r="K364" s="93"/>
    </row>
    <row r="365" spans="5:11" x14ac:dyDescent="0.2">
      <c r="E365" s="93"/>
      <c r="K365" s="93"/>
    </row>
    <row r="366" spans="5:11" x14ac:dyDescent="0.2">
      <c r="E366" s="93"/>
      <c r="K366" s="93"/>
    </row>
    <row r="367" spans="5:11" x14ac:dyDescent="0.2">
      <c r="E367" s="93"/>
      <c r="K367" s="93"/>
    </row>
    <row r="368" spans="5:11" x14ac:dyDescent="0.2">
      <c r="K368" s="93"/>
    </row>
    <row r="369" spans="5:11" x14ac:dyDescent="0.2">
      <c r="E369" s="93"/>
      <c r="K369" s="93"/>
    </row>
    <row r="370" spans="5:11" x14ac:dyDescent="0.2">
      <c r="E370" s="93"/>
      <c r="K370" s="93"/>
    </row>
    <row r="371" spans="5:11" x14ac:dyDescent="0.2">
      <c r="E371" s="93"/>
      <c r="K371" s="93"/>
    </row>
    <row r="372" spans="5:11" x14ac:dyDescent="0.2">
      <c r="E372" s="93"/>
      <c r="K372" s="93"/>
    </row>
    <row r="373" spans="5:11" x14ac:dyDescent="0.2">
      <c r="E373" s="93"/>
      <c r="K373" s="93"/>
    </row>
    <row r="374" spans="5:11" x14ac:dyDescent="0.2">
      <c r="K374" s="93"/>
    </row>
    <row r="375" spans="5:11" x14ac:dyDescent="0.2">
      <c r="E375" s="93"/>
      <c r="K375" s="93"/>
    </row>
    <row r="376" spans="5:11" x14ac:dyDescent="0.2">
      <c r="K376" s="93"/>
    </row>
    <row r="377" spans="5:11" x14ac:dyDescent="0.2">
      <c r="K377" s="93"/>
    </row>
    <row r="378" spans="5:11" x14ac:dyDescent="0.2">
      <c r="E378" s="93"/>
      <c r="K378" s="93"/>
    </row>
    <row r="379" spans="5:11" x14ac:dyDescent="0.2">
      <c r="E379" s="93"/>
      <c r="K379" s="93"/>
    </row>
    <row r="380" spans="5:11" x14ac:dyDescent="0.2">
      <c r="E380" s="93"/>
      <c r="K380" s="93"/>
    </row>
    <row r="381" spans="5:11" x14ac:dyDescent="0.2">
      <c r="E381" s="93"/>
      <c r="K381" s="93"/>
    </row>
    <row r="382" spans="5:11" x14ac:dyDescent="0.2">
      <c r="E382" s="93"/>
      <c r="K382" s="93"/>
    </row>
    <row r="383" spans="5:11" x14ac:dyDescent="0.2">
      <c r="E383" s="93"/>
      <c r="K383" s="93"/>
    </row>
    <row r="384" spans="5:11" x14ac:dyDescent="0.2">
      <c r="E384" s="93"/>
      <c r="K384" s="93"/>
    </row>
    <row r="385" spans="5:11" x14ac:dyDescent="0.2">
      <c r="E385" s="93"/>
      <c r="K385" s="93"/>
    </row>
    <row r="386" spans="5:11" x14ac:dyDescent="0.2">
      <c r="E386" s="93"/>
      <c r="K386" s="93"/>
    </row>
    <row r="387" spans="5:11" x14ac:dyDescent="0.2">
      <c r="E387" s="93"/>
      <c r="K387" s="93"/>
    </row>
    <row r="388" spans="5:11" x14ac:dyDescent="0.2">
      <c r="K388" s="93"/>
    </row>
    <row r="389" spans="5:11" x14ac:dyDescent="0.2">
      <c r="E389" s="93"/>
      <c r="K389" s="93"/>
    </row>
    <row r="390" spans="5:11" x14ac:dyDescent="0.2">
      <c r="E390" s="93"/>
      <c r="K390" s="93"/>
    </row>
    <row r="391" spans="5:11" x14ac:dyDescent="0.2">
      <c r="E391" s="93"/>
      <c r="K391" s="93"/>
    </row>
    <row r="392" spans="5:11" x14ac:dyDescent="0.2">
      <c r="E392" s="93"/>
      <c r="K392" s="93"/>
    </row>
    <row r="393" spans="5:11" x14ac:dyDescent="0.2">
      <c r="K393" s="93"/>
    </row>
    <row r="394" spans="5:11" x14ac:dyDescent="0.2">
      <c r="E394" s="93"/>
      <c r="K394" s="93"/>
    </row>
    <row r="395" spans="5:11" x14ac:dyDescent="0.2">
      <c r="K395" s="93"/>
    </row>
    <row r="396" spans="5:11" x14ac:dyDescent="0.2">
      <c r="K396" s="93"/>
    </row>
    <row r="397" spans="5:11" x14ac:dyDescent="0.2">
      <c r="K397" s="93"/>
    </row>
    <row r="398" spans="5:11" x14ac:dyDescent="0.2">
      <c r="E398" s="93"/>
      <c r="K398" s="93"/>
    </row>
    <row r="399" spans="5:11" x14ac:dyDescent="0.2">
      <c r="E399" s="93"/>
      <c r="K399" s="93"/>
    </row>
    <row r="400" spans="5:11" x14ac:dyDescent="0.2">
      <c r="E400" s="93"/>
      <c r="K400" s="93"/>
    </row>
    <row r="401" spans="5:11" x14ac:dyDescent="0.2">
      <c r="E401" s="93"/>
      <c r="K401" s="93"/>
    </row>
    <row r="402" spans="5:11" x14ac:dyDescent="0.2">
      <c r="E402" s="93"/>
      <c r="K402" s="93"/>
    </row>
    <row r="403" spans="5:11" x14ac:dyDescent="0.2">
      <c r="K403" s="93"/>
    </row>
    <row r="404" spans="5:11" x14ac:dyDescent="0.2">
      <c r="E404" s="93"/>
      <c r="K404" s="93"/>
    </row>
    <row r="405" spans="5:11" x14ac:dyDescent="0.2">
      <c r="E405" s="93"/>
      <c r="K405" s="93"/>
    </row>
    <row r="406" spans="5:11" x14ac:dyDescent="0.2">
      <c r="E406" s="93"/>
      <c r="K406" s="93"/>
    </row>
    <row r="407" spans="5:11" x14ac:dyDescent="0.2">
      <c r="E407" s="93"/>
      <c r="K407" s="93"/>
    </row>
    <row r="408" spans="5:11" x14ac:dyDescent="0.2">
      <c r="E408" s="93"/>
      <c r="K408" s="93"/>
    </row>
    <row r="409" spans="5:11" x14ac:dyDescent="0.2">
      <c r="E409" s="93"/>
      <c r="K409" s="93"/>
    </row>
    <row r="410" spans="5:11" x14ac:dyDescent="0.2">
      <c r="E410" s="93"/>
      <c r="K410" s="93"/>
    </row>
    <row r="411" spans="5:11" x14ac:dyDescent="0.2">
      <c r="E411" s="93"/>
      <c r="K411" s="93"/>
    </row>
    <row r="412" spans="5:11" x14ac:dyDescent="0.2">
      <c r="E412" s="93"/>
      <c r="K412" s="93"/>
    </row>
    <row r="413" spans="5:11" x14ac:dyDescent="0.2">
      <c r="K413" s="93"/>
    </row>
    <row r="414" spans="5:11" x14ac:dyDescent="0.2">
      <c r="E414" s="93"/>
      <c r="K414" s="93"/>
    </row>
    <row r="415" spans="5:11" x14ac:dyDescent="0.2">
      <c r="K415" s="93"/>
    </row>
    <row r="416" spans="5:11" x14ac:dyDescent="0.2">
      <c r="K416" s="93"/>
    </row>
    <row r="417" spans="5:11" x14ac:dyDescent="0.2">
      <c r="K417" s="93"/>
    </row>
    <row r="418" spans="5:11" x14ac:dyDescent="0.2">
      <c r="E418" s="93"/>
      <c r="K418" s="93"/>
    </row>
    <row r="419" spans="5:11" x14ac:dyDescent="0.2">
      <c r="E419" s="93"/>
      <c r="K419" s="93"/>
    </row>
    <row r="420" spans="5:11" x14ac:dyDescent="0.2">
      <c r="K420" s="93"/>
    </row>
    <row r="421" spans="5:11" x14ac:dyDescent="0.2">
      <c r="K421" s="93"/>
    </row>
    <row r="422" spans="5:11" x14ac:dyDescent="0.2">
      <c r="K422" s="93"/>
    </row>
    <row r="423" spans="5:11" x14ac:dyDescent="0.2">
      <c r="E423" s="93"/>
      <c r="K423" s="93"/>
    </row>
    <row r="424" spans="5:11" x14ac:dyDescent="0.2">
      <c r="E424" s="93"/>
      <c r="K424" s="93"/>
    </row>
    <row r="425" spans="5:11" x14ac:dyDescent="0.2">
      <c r="E425" s="93"/>
      <c r="K425" s="93"/>
    </row>
    <row r="426" spans="5:11" x14ac:dyDescent="0.2">
      <c r="E426" s="93"/>
      <c r="K426" s="93"/>
    </row>
    <row r="427" spans="5:11" x14ac:dyDescent="0.2">
      <c r="K427" s="93"/>
    </row>
    <row r="428" spans="5:11" x14ac:dyDescent="0.2">
      <c r="E428" s="93"/>
      <c r="K428" s="93"/>
    </row>
    <row r="429" spans="5:11" x14ac:dyDescent="0.2">
      <c r="E429" s="93"/>
      <c r="K429" s="93"/>
    </row>
    <row r="430" spans="5:11" x14ac:dyDescent="0.2">
      <c r="E430" s="93"/>
      <c r="K430" s="93"/>
    </row>
    <row r="431" spans="5:11" x14ac:dyDescent="0.2">
      <c r="K431" s="93"/>
    </row>
    <row r="432" spans="5:11" x14ac:dyDescent="0.2">
      <c r="E432" s="93"/>
      <c r="K432" s="93"/>
    </row>
    <row r="433" spans="5:11" x14ac:dyDescent="0.2">
      <c r="E433" s="93"/>
      <c r="K433" s="93"/>
    </row>
    <row r="434" spans="5:11" x14ac:dyDescent="0.2">
      <c r="K434" s="93"/>
    </row>
    <row r="435" spans="5:11" x14ac:dyDescent="0.2">
      <c r="E435" s="93"/>
      <c r="K435" s="93"/>
    </row>
    <row r="436" spans="5:11" x14ac:dyDescent="0.2">
      <c r="E436" s="93"/>
      <c r="K436" s="93"/>
    </row>
    <row r="437" spans="5:11" x14ac:dyDescent="0.2">
      <c r="E437" s="93"/>
      <c r="K437" s="93"/>
    </row>
    <row r="438" spans="5:11" x14ac:dyDescent="0.2">
      <c r="E438" s="93"/>
      <c r="K438" s="93"/>
    </row>
    <row r="439" spans="5:11" x14ac:dyDescent="0.2">
      <c r="E439" s="93"/>
      <c r="K439" s="93"/>
    </row>
    <row r="440" spans="5:11" x14ac:dyDescent="0.2">
      <c r="E440" s="93"/>
      <c r="K440" s="93"/>
    </row>
    <row r="441" spans="5:11" x14ac:dyDescent="0.2">
      <c r="E441" s="93"/>
      <c r="K441" s="93"/>
    </row>
    <row r="442" spans="5:11" x14ac:dyDescent="0.2">
      <c r="K442" s="93"/>
    </row>
    <row r="443" spans="5:11" x14ac:dyDescent="0.2">
      <c r="E443" s="93"/>
      <c r="K443" s="93"/>
    </row>
    <row r="444" spans="5:11" x14ac:dyDescent="0.2">
      <c r="E444" s="93"/>
      <c r="K444" s="93"/>
    </row>
    <row r="445" spans="5:11" x14ac:dyDescent="0.2">
      <c r="E445" s="93"/>
      <c r="K445" s="93"/>
    </row>
    <row r="446" spans="5:11" x14ac:dyDescent="0.2">
      <c r="K446" s="93"/>
    </row>
    <row r="447" spans="5:11" x14ac:dyDescent="0.2">
      <c r="E447" s="93"/>
      <c r="K447" s="93"/>
    </row>
    <row r="448" spans="5:11" x14ac:dyDescent="0.2">
      <c r="E448" s="93"/>
      <c r="K448" s="93"/>
    </row>
    <row r="449" spans="5:11" x14ac:dyDescent="0.2">
      <c r="E449" s="93"/>
      <c r="K449" s="93"/>
    </row>
    <row r="450" spans="5:11" x14ac:dyDescent="0.2">
      <c r="E450" s="93"/>
      <c r="K450" s="93"/>
    </row>
    <row r="451" spans="5:11" x14ac:dyDescent="0.2">
      <c r="E451" s="93"/>
      <c r="K451" s="93"/>
    </row>
    <row r="452" spans="5:11" x14ac:dyDescent="0.2">
      <c r="K452" s="93"/>
    </row>
    <row r="453" spans="5:11" x14ac:dyDescent="0.2">
      <c r="E453" s="93"/>
      <c r="K453" s="93"/>
    </row>
    <row r="454" spans="5:11" x14ac:dyDescent="0.2">
      <c r="K454" s="93"/>
    </row>
    <row r="455" spans="5:11" x14ac:dyDescent="0.2">
      <c r="K455" s="93"/>
    </row>
    <row r="456" spans="5:11" x14ac:dyDescent="0.2">
      <c r="E456" s="93"/>
      <c r="K456" s="93"/>
    </row>
    <row r="457" spans="5:11" x14ac:dyDescent="0.2">
      <c r="E457" s="93"/>
      <c r="K457" s="93"/>
    </row>
    <row r="458" spans="5:11" x14ac:dyDescent="0.2">
      <c r="E458" s="93"/>
      <c r="K458" s="93"/>
    </row>
    <row r="459" spans="5:11" x14ac:dyDescent="0.2">
      <c r="E459" s="93"/>
      <c r="K459" s="93"/>
    </row>
    <row r="460" spans="5:11" x14ac:dyDescent="0.2">
      <c r="E460" s="93"/>
      <c r="K460" s="93"/>
    </row>
    <row r="461" spans="5:11" x14ac:dyDescent="0.2">
      <c r="E461" s="93"/>
      <c r="K461" s="93"/>
    </row>
    <row r="462" spans="5:11" x14ac:dyDescent="0.2">
      <c r="K462" s="93"/>
    </row>
    <row r="463" spans="5:11" x14ac:dyDescent="0.2">
      <c r="E463" s="93"/>
      <c r="K463" s="93"/>
    </row>
    <row r="464" spans="5:11" x14ac:dyDescent="0.2">
      <c r="E464" s="93"/>
      <c r="K464" s="93"/>
    </row>
    <row r="465" spans="5:11" x14ac:dyDescent="0.2">
      <c r="E465" s="93"/>
      <c r="K465" s="93"/>
    </row>
    <row r="466" spans="5:11" x14ac:dyDescent="0.2">
      <c r="K466" s="93"/>
    </row>
    <row r="467" spans="5:11" x14ac:dyDescent="0.2">
      <c r="E467" s="93"/>
      <c r="K467" s="93"/>
    </row>
    <row r="468" spans="5:11" x14ac:dyDescent="0.2">
      <c r="E468" s="93"/>
      <c r="K468" s="93"/>
    </row>
    <row r="469" spans="5:11" x14ac:dyDescent="0.2">
      <c r="E469" s="93"/>
      <c r="K469" s="93"/>
    </row>
    <row r="470" spans="5:11" x14ac:dyDescent="0.2">
      <c r="E470" s="93"/>
      <c r="K470" s="93"/>
    </row>
    <row r="471" spans="5:11" x14ac:dyDescent="0.2">
      <c r="K471" s="93"/>
    </row>
    <row r="472" spans="5:11" x14ac:dyDescent="0.2">
      <c r="E472" s="93"/>
      <c r="K472" s="93"/>
    </row>
    <row r="473" spans="5:11" x14ac:dyDescent="0.2">
      <c r="E473" s="93"/>
      <c r="K473" s="93"/>
    </row>
    <row r="474" spans="5:11" x14ac:dyDescent="0.2">
      <c r="K474" s="93"/>
    </row>
    <row r="475" spans="5:11" x14ac:dyDescent="0.2">
      <c r="E475" s="93"/>
      <c r="K475" s="93"/>
    </row>
    <row r="476" spans="5:11" x14ac:dyDescent="0.2">
      <c r="E476" s="93"/>
      <c r="K476" s="93"/>
    </row>
    <row r="477" spans="5:11" x14ac:dyDescent="0.2">
      <c r="E477" s="93"/>
      <c r="K477" s="93"/>
    </row>
    <row r="478" spans="5:11" x14ac:dyDescent="0.2">
      <c r="E478" s="93"/>
      <c r="K478" s="93"/>
    </row>
    <row r="479" spans="5:11" x14ac:dyDescent="0.2">
      <c r="E479" s="93"/>
      <c r="K479" s="93"/>
    </row>
    <row r="480" spans="5:11" x14ac:dyDescent="0.2">
      <c r="K480" s="93"/>
    </row>
    <row r="481" spans="5:11" x14ac:dyDescent="0.2">
      <c r="K481" s="93"/>
    </row>
    <row r="482" spans="5:11" x14ac:dyDescent="0.2">
      <c r="K482" s="93"/>
    </row>
    <row r="483" spans="5:11" x14ac:dyDescent="0.2">
      <c r="E483" s="93"/>
      <c r="K483" s="93"/>
    </row>
    <row r="484" spans="5:11" x14ac:dyDescent="0.2">
      <c r="K484" s="93"/>
    </row>
    <row r="485" spans="5:11" x14ac:dyDescent="0.2">
      <c r="E485" s="93"/>
      <c r="K485" s="93"/>
    </row>
    <row r="486" spans="5:11" x14ac:dyDescent="0.2">
      <c r="E486" s="93"/>
      <c r="K486" s="93"/>
    </row>
    <row r="487" spans="5:11" x14ac:dyDescent="0.2">
      <c r="E487" s="93"/>
      <c r="K487" s="93"/>
    </row>
    <row r="488" spans="5:11" x14ac:dyDescent="0.2">
      <c r="E488" s="93"/>
      <c r="K488" s="93"/>
    </row>
    <row r="489" spans="5:11" x14ac:dyDescent="0.2">
      <c r="E489" s="93"/>
      <c r="K489" s="93"/>
    </row>
    <row r="490" spans="5:11" x14ac:dyDescent="0.2">
      <c r="E490" s="93"/>
      <c r="K490" s="93"/>
    </row>
    <row r="491" spans="5:11" x14ac:dyDescent="0.2">
      <c r="E491" s="93"/>
      <c r="K491" s="93"/>
    </row>
    <row r="492" spans="5:11" x14ac:dyDescent="0.2">
      <c r="E492" s="93"/>
      <c r="K492" s="93"/>
    </row>
    <row r="493" spans="5:11" x14ac:dyDescent="0.2">
      <c r="E493" s="93"/>
      <c r="K493" s="93"/>
    </row>
    <row r="494" spans="5:11" x14ac:dyDescent="0.2">
      <c r="E494" s="93"/>
      <c r="K494" s="93"/>
    </row>
    <row r="495" spans="5:11" x14ac:dyDescent="0.2">
      <c r="E495" s="93"/>
      <c r="K495" s="93"/>
    </row>
    <row r="496" spans="5:11" x14ac:dyDescent="0.2">
      <c r="E496" s="93"/>
      <c r="K496" s="93"/>
    </row>
    <row r="497" spans="5:11" x14ac:dyDescent="0.2">
      <c r="E497" s="93"/>
      <c r="K497" s="93"/>
    </row>
    <row r="498" spans="5:11" x14ac:dyDescent="0.2">
      <c r="E498" s="93"/>
      <c r="K498" s="93"/>
    </row>
    <row r="499" spans="5:11" x14ac:dyDescent="0.2">
      <c r="E499" s="93"/>
      <c r="K499" s="93"/>
    </row>
    <row r="500" spans="5:11" x14ac:dyDescent="0.2">
      <c r="E500" s="93"/>
      <c r="K500" s="93"/>
    </row>
    <row r="501" spans="5:11" x14ac:dyDescent="0.2">
      <c r="E501" s="93"/>
      <c r="K501" s="93"/>
    </row>
    <row r="502" spans="5:11" x14ac:dyDescent="0.2">
      <c r="K502" s="93"/>
    </row>
    <row r="503" spans="5:11" x14ac:dyDescent="0.2">
      <c r="K503" s="93"/>
    </row>
    <row r="504" spans="5:11" x14ac:dyDescent="0.2">
      <c r="E504" s="93"/>
      <c r="K504" s="93"/>
    </row>
    <row r="505" spans="5:11" x14ac:dyDescent="0.2">
      <c r="E505" s="93"/>
      <c r="K505" s="93"/>
    </row>
    <row r="506" spans="5:11" x14ac:dyDescent="0.2">
      <c r="E506" s="93"/>
      <c r="K506" s="93"/>
    </row>
    <row r="507" spans="5:11" x14ac:dyDescent="0.2">
      <c r="E507" s="93"/>
      <c r="K507" s="93"/>
    </row>
    <row r="508" spans="5:11" x14ac:dyDescent="0.2">
      <c r="K508" s="93"/>
    </row>
    <row r="509" spans="5:11" x14ac:dyDescent="0.2">
      <c r="K509" s="93"/>
    </row>
    <row r="510" spans="5:11" x14ac:dyDescent="0.2">
      <c r="E510" s="93"/>
      <c r="K510" s="93"/>
    </row>
    <row r="511" spans="5:11" x14ac:dyDescent="0.2">
      <c r="E511" s="93"/>
      <c r="K511" s="93"/>
    </row>
    <row r="512" spans="5:11" x14ac:dyDescent="0.2">
      <c r="K512" s="93"/>
    </row>
    <row r="513" spans="5:11" x14ac:dyDescent="0.2">
      <c r="E513" s="93"/>
      <c r="K513" s="93"/>
    </row>
    <row r="514" spans="5:11" x14ac:dyDescent="0.2">
      <c r="K514" s="93"/>
    </row>
    <row r="515" spans="5:11" x14ac:dyDescent="0.2">
      <c r="K515" s="93"/>
    </row>
    <row r="516" spans="5:11" x14ac:dyDescent="0.2">
      <c r="E516" s="93"/>
      <c r="K516" s="93"/>
    </row>
    <row r="517" spans="5:11" x14ac:dyDescent="0.2">
      <c r="E517" s="93"/>
      <c r="K517" s="93"/>
    </row>
    <row r="518" spans="5:11" x14ac:dyDescent="0.2">
      <c r="K518" s="93"/>
    </row>
    <row r="519" spans="5:11" x14ac:dyDescent="0.2">
      <c r="E519" s="93"/>
      <c r="K519" s="93"/>
    </row>
    <row r="520" spans="5:11" x14ac:dyDescent="0.2">
      <c r="E520" s="93"/>
      <c r="K520" s="93"/>
    </row>
    <row r="521" spans="5:11" x14ac:dyDescent="0.2">
      <c r="E521" s="93"/>
      <c r="K521" s="93"/>
    </row>
    <row r="522" spans="5:11" x14ac:dyDescent="0.2">
      <c r="E522" s="93"/>
      <c r="K522" s="93"/>
    </row>
    <row r="523" spans="5:11" x14ac:dyDescent="0.2">
      <c r="E523" s="93"/>
      <c r="K523" s="93"/>
    </row>
    <row r="524" spans="5:11" x14ac:dyDescent="0.2">
      <c r="E524" s="93"/>
      <c r="K524" s="93"/>
    </row>
    <row r="525" spans="5:11" x14ac:dyDescent="0.2">
      <c r="E525" s="93"/>
      <c r="K525" s="93"/>
    </row>
    <row r="526" spans="5:11" x14ac:dyDescent="0.2">
      <c r="K526" s="93"/>
    </row>
    <row r="527" spans="5:11" x14ac:dyDescent="0.2">
      <c r="K527" s="93"/>
    </row>
    <row r="528" spans="5:11" x14ac:dyDescent="0.2">
      <c r="E528" s="93"/>
      <c r="K528" s="93"/>
    </row>
    <row r="529" spans="5:11" x14ac:dyDescent="0.2">
      <c r="E529" s="93"/>
      <c r="K529" s="93"/>
    </row>
    <row r="530" spans="5:11" x14ac:dyDescent="0.2">
      <c r="E530" s="93"/>
      <c r="K530" s="93"/>
    </row>
    <row r="531" spans="5:11" x14ac:dyDescent="0.2">
      <c r="K531" s="93"/>
    </row>
    <row r="532" spans="5:11" x14ac:dyDescent="0.2">
      <c r="E532" s="93"/>
      <c r="K532" s="93"/>
    </row>
    <row r="533" spans="5:11" x14ac:dyDescent="0.2">
      <c r="E533" s="93"/>
      <c r="K533" s="93"/>
    </row>
    <row r="534" spans="5:11" x14ac:dyDescent="0.2">
      <c r="K534" s="93"/>
    </row>
    <row r="535" spans="5:11" x14ac:dyDescent="0.2">
      <c r="E535" s="93"/>
      <c r="K535" s="93"/>
    </row>
    <row r="536" spans="5:11" x14ac:dyDescent="0.2">
      <c r="E536" s="93"/>
      <c r="K536" s="93"/>
    </row>
    <row r="537" spans="5:11" x14ac:dyDescent="0.2">
      <c r="K537" s="93"/>
    </row>
    <row r="538" spans="5:11" x14ac:dyDescent="0.2">
      <c r="K538" s="93"/>
    </row>
    <row r="539" spans="5:11" x14ac:dyDescent="0.2">
      <c r="E539" s="93"/>
      <c r="K539" s="93"/>
    </row>
    <row r="540" spans="5:11" x14ac:dyDescent="0.2">
      <c r="K540" s="93"/>
    </row>
    <row r="541" spans="5:11" x14ac:dyDescent="0.2">
      <c r="K541" s="93"/>
    </row>
    <row r="542" spans="5:11" x14ac:dyDescent="0.2">
      <c r="E542" s="93"/>
      <c r="K542" s="93"/>
    </row>
    <row r="543" spans="5:11" x14ac:dyDescent="0.2">
      <c r="K543" s="93"/>
    </row>
    <row r="544" spans="5:11" x14ac:dyDescent="0.2">
      <c r="K544" s="93"/>
    </row>
    <row r="545" spans="5:11" x14ac:dyDescent="0.2">
      <c r="E545" s="93"/>
      <c r="K545" s="93"/>
    </row>
    <row r="546" spans="5:11" x14ac:dyDescent="0.2">
      <c r="E546" s="93"/>
      <c r="K546" s="93"/>
    </row>
    <row r="547" spans="5:11" x14ac:dyDescent="0.2">
      <c r="E547" s="93"/>
      <c r="K547" s="93"/>
    </row>
    <row r="548" spans="5:11" x14ac:dyDescent="0.2">
      <c r="K548" s="93"/>
    </row>
    <row r="549" spans="5:11" x14ac:dyDescent="0.2">
      <c r="E549" s="93"/>
      <c r="K549" s="93"/>
    </row>
    <row r="550" spans="5:11" x14ac:dyDescent="0.2">
      <c r="E550" s="93"/>
      <c r="K550" s="93"/>
    </row>
    <row r="551" spans="5:11" x14ac:dyDescent="0.2">
      <c r="K551" s="93"/>
    </row>
    <row r="552" spans="5:11" x14ac:dyDescent="0.2">
      <c r="E552" s="93"/>
      <c r="K552" s="93"/>
    </row>
    <row r="553" spans="5:11" x14ac:dyDescent="0.2">
      <c r="E553" s="93"/>
      <c r="K553" s="93"/>
    </row>
    <row r="554" spans="5:11" x14ac:dyDescent="0.2">
      <c r="E554" s="93"/>
      <c r="K554" s="93"/>
    </row>
    <row r="555" spans="5:11" x14ac:dyDescent="0.2">
      <c r="K555" s="93"/>
    </row>
    <row r="556" spans="5:11" x14ac:dyDescent="0.2">
      <c r="E556" s="93"/>
      <c r="K556" s="93"/>
    </row>
    <row r="557" spans="5:11" x14ac:dyDescent="0.2">
      <c r="E557" s="93"/>
      <c r="K557" s="93"/>
    </row>
    <row r="558" spans="5:11" x14ac:dyDescent="0.2">
      <c r="K558" s="93"/>
    </row>
    <row r="559" spans="5:11" x14ac:dyDescent="0.2">
      <c r="K559" s="93"/>
    </row>
    <row r="560" spans="5:11" x14ac:dyDescent="0.2">
      <c r="E560" s="93"/>
      <c r="K560" s="93"/>
    </row>
    <row r="561" spans="5:11" x14ac:dyDescent="0.2">
      <c r="E561" s="93"/>
      <c r="K561" s="93"/>
    </row>
    <row r="562" spans="5:11" x14ac:dyDescent="0.2">
      <c r="E562" s="93"/>
      <c r="K562" s="93"/>
    </row>
    <row r="563" spans="5:11" x14ac:dyDescent="0.2">
      <c r="K563" s="93"/>
    </row>
    <row r="564" spans="5:11" x14ac:dyDescent="0.2">
      <c r="E564" s="93"/>
      <c r="K564" s="93"/>
    </row>
    <row r="565" spans="5:11" x14ac:dyDescent="0.2">
      <c r="K565" s="93"/>
    </row>
    <row r="566" spans="5:11" x14ac:dyDescent="0.2">
      <c r="E566" s="93"/>
      <c r="K566" s="93"/>
    </row>
    <row r="567" spans="5:11" x14ac:dyDescent="0.2">
      <c r="E567" s="93"/>
      <c r="K567" s="93"/>
    </row>
    <row r="568" spans="5:11" x14ac:dyDescent="0.2">
      <c r="E568" s="93"/>
      <c r="K568" s="93"/>
    </row>
    <row r="569" spans="5:11" x14ac:dyDescent="0.2">
      <c r="K569" s="93"/>
    </row>
    <row r="570" spans="5:11" x14ac:dyDescent="0.2">
      <c r="E570" s="93"/>
      <c r="K570" s="93"/>
    </row>
    <row r="571" spans="5:11" x14ac:dyDescent="0.2">
      <c r="K571" s="93"/>
    </row>
    <row r="572" spans="5:11" x14ac:dyDescent="0.2">
      <c r="E572" s="93"/>
      <c r="K572" s="93"/>
    </row>
    <row r="573" spans="5:11" x14ac:dyDescent="0.2">
      <c r="E573" s="93"/>
      <c r="K573" s="93"/>
    </row>
    <row r="574" spans="5:11" x14ac:dyDescent="0.2">
      <c r="E574" s="93"/>
      <c r="K574" s="93"/>
    </row>
    <row r="575" spans="5:11" x14ac:dyDescent="0.2">
      <c r="K575" s="93"/>
    </row>
    <row r="576" spans="5:11" x14ac:dyDescent="0.2">
      <c r="E576" s="93"/>
      <c r="K576" s="93"/>
    </row>
    <row r="577" spans="5:11" x14ac:dyDescent="0.2">
      <c r="E577" s="93"/>
      <c r="K577" s="93"/>
    </row>
    <row r="578" spans="5:11" x14ac:dyDescent="0.2">
      <c r="E578" s="93"/>
      <c r="K578" s="93"/>
    </row>
    <row r="579" spans="5:11" x14ac:dyDescent="0.2">
      <c r="K579" s="93"/>
    </row>
    <row r="580" spans="5:11" x14ac:dyDescent="0.2">
      <c r="E580" s="93"/>
      <c r="K580" s="93"/>
    </row>
    <row r="581" spans="5:11" x14ac:dyDescent="0.2">
      <c r="E581" s="93"/>
      <c r="K581" s="93"/>
    </row>
    <row r="582" spans="5:11" x14ac:dyDescent="0.2">
      <c r="E582" s="93"/>
      <c r="K582" s="93"/>
    </row>
    <row r="583" spans="5:11" x14ac:dyDescent="0.2">
      <c r="E583" s="93"/>
      <c r="K583" s="93"/>
    </row>
    <row r="584" spans="5:11" x14ac:dyDescent="0.2">
      <c r="E584" s="93"/>
      <c r="K584" s="93"/>
    </row>
    <row r="585" spans="5:11" x14ac:dyDescent="0.2">
      <c r="E585" s="93"/>
      <c r="K585" s="93"/>
    </row>
    <row r="586" spans="5:11" x14ac:dyDescent="0.2">
      <c r="E586" s="93"/>
      <c r="K586" s="93"/>
    </row>
    <row r="587" spans="5:11" x14ac:dyDescent="0.2">
      <c r="E587" s="93"/>
      <c r="K587" s="93"/>
    </row>
    <row r="588" spans="5:11" x14ac:dyDescent="0.2">
      <c r="E588" s="93"/>
      <c r="K588" s="93"/>
    </row>
    <row r="589" spans="5:11" x14ac:dyDescent="0.2">
      <c r="K589" s="93"/>
    </row>
    <row r="590" spans="5:11" x14ac:dyDescent="0.2">
      <c r="K590" s="93"/>
    </row>
    <row r="591" spans="5:11" x14ac:dyDescent="0.2">
      <c r="E591" s="93"/>
      <c r="K591" s="93"/>
    </row>
    <row r="592" spans="5:11" x14ac:dyDescent="0.2">
      <c r="E592" s="93"/>
      <c r="K592" s="93"/>
    </row>
    <row r="593" spans="5:11" x14ac:dyDescent="0.2">
      <c r="K593" s="93"/>
    </row>
    <row r="594" spans="5:11" x14ac:dyDescent="0.2">
      <c r="E594" s="93"/>
      <c r="K594" s="93"/>
    </row>
    <row r="595" spans="5:11" x14ac:dyDescent="0.2">
      <c r="K595" s="93"/>
    </row>
    <row r="596" spans="5:11" x14ac:dyDescent="0.2">
      <c r="E596" s="93"/>
      <c r="K596" s="93"/>
    </row>
    <row r="597" spans="5:11" x14ac:dyDescent="0.2">
      <c r="K597" s="93"/>
    </row>
    <row r="598" spans="5:11" x14ac:dyDescent="0.2">
      <c r="K598" s="93"/>
    </row>
    <row r="599" spans="5:11" x14ac:dyDescent="0.2">
      <c r="K599" s="93"/>
    </row>
    <row r="600" spans="5:11" x14ac:dyDescent="0.2">
      <c r="K600" s="93"/>
    </row>
    <row r="601" spans="5:11" x14ac:dyDescent="0.2">
      <c r="K601" s="93"/>
    </row>
    <row r="602" spans="5:11" x14ac:dyDescent="0.2">
      <c r="K602" s="93"/>
    </row>
    <row r="603" spans="5:11" x14ac:dyDescent="0.2">
      <c r="K603" s="93"/>
    </row>
    <row r="604" spans="5:11" x14ac:dyDescent="0.2">
      <c r="E604" s="93"/>
      <c r="K604" s="93"/>
    </row>
    <row r="605" spans="5:11" x14ac:dyDescent="0.2">
      <c r="K605" s="93"/>
    </row>
    <row r="606" spans="5:11" x14ac:dyDescent="0.2">
      <c r="E606" s="93"/>
      <c r="K606" s="93"/>
    </row>
    <row r="607" spans="5:11" x14ac:dyDescent="0.2">
      <c r="E607" s="93"/>
      <c r="K607" s="93"/>
    </row>
    <row r="608" spans="5:11" x14ac:dyDescent="0.2">
      <c r="E608" s="93"/>
      <c r="K608" s="93"/>
    </row>
    <row r="609" spans="5:11" x14ac:dyDescent="0.2">
      <c r="E609" s="93"/>
      <c r="K609" s="93"/>
    </row>
    <row r="610" spans="5:11" x14ac:dyDescent="0.2">
      <c r="K610" s="93"/>
    </row>
    <row r="611" spans="5:11" x14ac:dyDescent="0.2">
      <c r="E611" s="93"/>
      <c r="K611" s="93"/>
    </row>
    <row r="612" spans="5:11" x14ac:dyDescent="0.2">
      <c r="E612" s="93"/>
      <c r="K612" s="93"/>
    </row>
    <row r="613" spans="5:11" x14ac:dyDescent="0.2">
      <c r="E613" s="93"/>
      <c r="K613" s="93"/>
    </row>
    <row r="614" spans="5:11" x14ac:dyDescent="0.2">
      <c r="K614" s="93"/>
    </row>
    <row r="615" spans="5:11" x14ac:dyDescent="0.2">
      <c r="E615" s="93"/>
      <c r="K615" s="93"/>
    </row>
    <row r="616" spans="5:11" x14ac:dyDescent="0.2">
      <c r="E616" s="93"/>
      <c r="K616" s="93"/>
    </row>
    <row r="617" spans="5:11" x14ac:dyDescent="0.2">
      <c r="K617" s="93"/>
    </row>
    <row r="618" spans="5:11" x14ac:dyDescent="0.2">
      <c r="E618" s="93"/>
      <c r="K618" s="93"/>
    </row>
    <row r="619" spans="5:11" x14ac:dyDescent="0.2">
      <c r="E619" s="93"/>
      <c r="K619" s="93"/>
    </row>
    <row r="620" spans="5:11" x14ac:dyDescent="0.2">
      <c r="E620" s="93"/>
      <c r="K620" s="93"/>
    </row>
    <row r="621" spans="5:11" x14ac:dyDescent="0.2">
      <c r="E621" s="93"/>
      <c r="K621" s="93"/>
    </row>
    <row r="622" spans="5:11" x14ac:dyDescent="0.2">
      <c r="E622" s="93"/>
      <c r="K622" s="93"/>
    </row>
    <row r="623" spans="5:11" x14ac:dyDescent="0.2">
      <c r="E623" s="93"/>
      <c r="K623" s="93"/>
    </row>
    <row r="624" spans="5:11" x14ac:dyDescent="0.2">
      <c r="E624" s="93"/>
      <c r="K624" s="93"/>
    </row>
    <row r="625" spans="5:11" x14ac:dyDescent="0.2">
      <c r="E625" s="93"/>
      <c r="K625" s="93"/>
    </row>
    <row r="626" spans="5:11" x14ac:dyDescent="0.2">
      <c r="K626" s="93"/>
    </row>
    <row r="627" spans="5:11" x14ac:dyDescent="0.2">
      <c r="E627" s="93"/>
      <c r="K627" s="93"/>
    </row>
    <row r="628" spans="5:11" x14ac:dyDescent="0.2">
      <c r="E628" s="93"/>
      <c r="K628" s="93"/>
    </row>
    <row r="629" spans="5:11" x14ac:dyDescent="0.2">
      <c r="K629" s="93"/>
    </row>
    <row r="630" spans="5:11" x14ac:dyDescent="0.2">
      <c r="E630" s="93"/>
      <c r="K630" s="93"/>
    </row>
    <row r="631" spans="5:11" x14ac:dyDescent="0.2">
      <c r="K631" s="93"/>
    </row>
    <row r="632" spans="5:11" x14ac:dyDescent="0.2">
      <c r="E632" s="93"/>
      <c r="K632" s="93"/>
    </row>
    <row r="633" spans="5:11" x14ac:dyDescent="0.2">
      <c r="E633" s="93"/>
      <c r="K633" s="93"/>
    </row>
    <row r="634" spans="5:11" x14ac:dyDescent="0.2">
      <c r="E634" s="93"/>
      <c r="K634" s="93"/>
    </row>
    <row r="635" spans="5:11" x14ac:dyDescent="0.2">
      <c r="K635" s="93"/>
    </row>
    <row r="636" spans="5:11" x14ac:dyDescent="0.2">
      <c r="K636" s="93"/>
    </row>
    <row r="637" spans="5:11" x14ac:dyDescent="0.2">
      <c r="E637" s="93"/>
      <c r="K637" s="93"/>
    </row>
    <row r="638" spans="5:11" x14ac:dyDescent="0.2">
      <c r="E638" s="93"/>
      <c r="K638" s="93"/>
    </row>
    <row r="639" spans="5:11" x14ac:dyDescent="0.2">
      <c r="E639" s="93"/>
      <c r="K639" s="93"/>
    </row>
    <row r="640" spans="5:11" x14ac:dyDescent="0.2">
      <c r="E640" s="93"/>
      <c r="K640" s="93"/>
    </row>
    <row r="641" spans="5:11" x14ac:dyDescent="0.2">
      <c r="E641" s="93"/>
      <c r="K641" s="93"/>
    </row>
    <row r="642" spans="5:11" x14ac:dyDescent="0.2">
      <c r="K642" s="93"/>
    </row>
    <row r="643" spans="5:11" x14ac:dyDescent="0.2">
      <c r="E643" s="93"/>
      <c r="K643" s="93"/>
    </row>
    <row r="644" spans="5:11" x14ac:dyDescent="0.2">
      <c r="E644" s="93"/>
      <c r="K644" s="93"/>
    </row>
    <row r="645" spans="5:11" x14ac:dyDescent="0.2">
      <c r="E645" s="93"/>
      <c r="K645" s="93"/>
    </row>
    <row r="646" spans="5:11" x14ac:dyDescent="0.2">
      <c r="E646" s="93"/>
      <c r="K646" s="93"/>
    </row>
    <row r="647" spans="5:11" x14ac:dyDescent="0.2">
      <c r="K647" s="93"/>
    </row>
    <row r="648" spans="5:11" x14ac:dyDescent="0.2">
      <c r="E648" s="93"/>
      <c r="K648" s="93"/>
    </row>
    <row r="649" spans="5:11" x14ac:dyDescent="0.2">
      <c r="K649" s="93"/>
    </row>
    <row r="650" spans="5:11" x14ac:dyDescent="0.2">
      <c r="E650" s="93"/>
      <c r="K650" s="93"/>
    </row>
    <row r="651" spans="5:11" x14ac:dyDescent="0.2">
      <c r="E651" s="93"/>
      <c r="K651" s="93"/>
    </row>
    <row r="652" spans="5:11" x14ac:dyDescent="0.2">
      <c r="E652" s="93"/>
      <c r="K652" s="93"/>
    </row>
    <row r="653" spans="5:11" x14ac:dyDescent="0.2">
      <c r="E653" s="93"/>
      <c r="K653" s="93"/>
    </row>
    <row r="654" spans="5:11" x14ac:dyDescent="0.2">
      <c r="E654" s="93"/>
      <c r="K654" s="93"/>
    </row>
    <row r="655" spans="5:11" x14ac:dyDescent="0.2">
      <c r="E655" s="93"/>
      <c r="K655" s="93"/>
    </row>
    <row r="656" spans="5:11" x14ac:dyDescent="0.2">
      <c r="E656" s="93"/>
      <c r="K656" s="93"/>
    </row>
    <row r="657" spans="5:11" x14ac:dyDescent="0.2">
      <c r="E657" s="93"/>
      <c r="K657" s="93"/>
    </row>
    <row r="658" spans="5:11" x14ac:dyDescent="0.2">
      <c r="K658" s="93"/>
    </row>
    <row r="659" spans="5:11" x14ac:dyDescent="0.2">
      <c r="K659" s="93"/>
    </row>
    <row r="660" spans="5:11" x14ac:dyDescent="0.2">
      <c r="E660" s="93"/>
      <c r="K660" s="93"/>
    </row>
    <row r="661" spans="5:11" x14ac:dyDescent="0.2">
      <c r="E661" s="93"/>
      <c r="K661" s="93"/>
    </row>
    <row r="662" spans="5:11" x14ac:dyDescent="0.2">
      <c r="E662" s="93"/>
      <c r="K662" s="93"/>
    </row>
    <row r="663" spans="5:11" x14ac:dyDescent="0.2">
      <c r="K663" s="93"/>
    </row>
    <row r="664" spans="5:11" x14ac:dyDescent="0.2">
      <c r="K664" s="93"/>
    </row>
    <row r="665" spans="5:11" x14ac:dyDescent="0.2">
      <c r="E665" s="93"/>
      <c r="K665" s="93"/>
    </row>
    <row r="666" spans="5:11" x14ac:dyDescent="0.2">
      <c r="E666" s="93"/>
      <c r="K666" s="93"/>
    </row>
    <row r="667" spans="5:11" x14ac:dyDescent="0.2">
      <c r="E667" s="93"/>
      <c r="K667" s="93"/>
    </row>
    <row r="668" spans="5:11" x14ac:dyDescent="0.2">
      <c r="E668" s="93"/>
      <c r="K668" s="93"/>
    </row>
    <row r="669" spans="5:11" x14ac:dyDescent="0.2">
      <c r="E669" s="93"/>
      <c r="K669" s="93"/>
    </row>
    <row r="670" spans="5:11" x14ac:dyDescent="0.2">
      <c r="E670" s="93"/>
      <c r="K670" s="93"/>
    </row>
    <row r="671" spans="5:11" x14ac:dyDescent="0.2">
      <c r="E671" s="93"/>
      <c r="K671" s="93"/>
    </row>
    <row r="672" spans="5:11" x14ac:dyDescent="0.2">
      <c r="K672" s="93"/>
    </row>
    <row r="673" spans="5:11" x14ac:dyDescent="0.2">
      <c r="E673" s="93"/>
      <c r="K673" s="93"/>
    </row>
    <row r="674" spans="5:11" x14ac:dyDescent="0.2">
      <c r="K674" s="93"/>
    </row>
    <row r="675" spans="5:11" x14ac:dyDescent="0.2">
      <c r="K675" s="93"/>
    </row>
    <row r="676" spans="5:11" x14ac:dyDescent="0.2">
      <c r="E676" s="93"/>
      <c r="K676" s="93"/>
    </row>
    <row r="677" spans="5:11" x14ac:dyDescent="0.2">
      <c r="K677" s="93"/>
    </row>
    <row r="678" spans="5:11" x14ac:dyDescent="0.2">
      <c r="E678" s="93"/>
      <c r="K678" s="93"/>
    </row>
    <row r="679" spans="5:11" x14ac:dyDescent="0.2">
      <c r="E679" s="93"/>
      <c r="K679" s="93"/>
    </row>
    <row r="680" spans="5:11" x14ac:dyDescent="0.2">
      <c r="K680" s="93"/>
    </row>
    <row r="681" spans="5:11" x14ac:dyDescent="0.2">
      <c r="E681" s="93"/>
      <c r="K681" s="93"/>
    </row>
    <row r="682" spans="5:11" x14ac:dyDescent="0.2">
      <c r="E682" s="93"/>
      <c r="K682" s="93"/>
    </row>
    <row r="683" spans="5:11" x14ac:dyDescent="0.2">
      <c r="K683" s="93"/>
    </row>
    <row r="684" spans="5:11" x14ac:dyDescent="0.2">
      <c r="E684" s="93"/>
      <c r="K684" s="93"/>
    </row>
    <row r="685" spans="5:11" x14ac:dyDescent="0.2">
      <c r="E685" s="93"/>
      <c r="K685" s="93"/>
    </row>
    <row r="686" spans="5:11" x14ac:dyDescent="0.2">
      <c r="E686" s="93"/>
      <c r="K686" s="93"/>
    </row>
    <row r="687" spans="5:11" x14ac:dyDescent="0.2">
      <c r="E687" s="93"/>
      <c r="K687" s="93"/>
    </row>
    <row r="688" spans="5:11" x14ac:dyDescent="0.2">
      <c r="E688" s="93"/>
      <c r="K688" s="93"/>
    </row>
    <row r="689" spans="5:11" x14ac:dyDescent="0.2">
      <c r="K689" s="93"/>
    </row>
    <row r="690" spans="5:11" x14ac:dyDescent="0.2">
      <c r="E690" s="93"/>
      <c r="K690" s="93"/>
    </row>
    <row r="691" spans="5:11" x14ac:dyDescent="0.2">
      <c r="K691" s="93"/>
    </row>
    <row r="692" spans="5:11" x14ac:dyDescent="0.2">
      <c r="E692" s="93"/>
      <c r="K692" s="93"/>
    </row>
    <row r="693" spans="5:11" x14ac:dyDescent="0.2">
      <c r="E693" s="93"/>
      <c r="K693" s="93"/>
    </row>
    <row r="694" spans="5:11" x14ac:dyDescent="0.2">
      <c r="E694" s="93"/>
      <c r="K694" s="93"/>
    </row>
    <row r="695" spans="5:11" x14ac:dyDescent="0.2">
      <c r="E695" s="93"/>
      <c r="K695" s="93"/>
    </row>
    <row r="696" spans="5:11" x14ac:dyDescent="0.2">
      <c r="E696" s="93"/>
      <c r="K696" s="93"/>
    </row>
    <row r="697" spans="5:11" x14ac:dyDescent="0.2">
      <c r="K697" s="93"/>
    </row>
    <row r="698" spans="5:11" x14ac:dyDescent="0.2">
      <c r="K698" s="93"/>
    </row>
    <row r="699" spans="5:11" x14ac:dyDescent="0.2">
      <c r="E699" s="93"/>
      <c r="K699" s="93"/>
    </row>
    <row r="700" spans="5:11" x14ac:dyDescent="0.2">
      <c r="K700" s="93"/>
    </row>
    <row r="701" spans="5:11" x14ac:dyDescent="0.2">
      <c r="E701" s="93"/>
      <c r="K701" s="93"/>
    </row>
    <row r="702" spans="5:11" x14ac:dyDescent="0.2">
      <c r="E702" s="93"/>
      <c r="K702" s="93"/>
    </row>
    <row r="703" spans="5:11" x14ac:dyDescent="0.2">
      <c r="K703" s="93"/>
    </row>
    <row r="704" spans="5:11" x14ac:dyDescent="0.2">
      <c r="E704" s="93"/>
      <c r="K704" s="93"/>
    </row>
    <row r="705" spans="5:11" x14ac:dyDescent="0.2">
      <c r="K705" s="93"/>
    </row>
    <row r="706" spans="5:11" x14ac:dyDescent="0.2">
      <c r="E706" s="93"/>
      <c r="K706" s="93"/>
    </row>
    <row r="707" spans="5:11" x14ac:dyDescent="0.2">
      <c r="E707" s="93"/>
      <c r="K707" s="93"/>
    </row>
    <row r="708" spans="5:11" x14ac:dyDescent="0.2">
      <c r="E708" s="93"/>
      <c r="K708" s="93"/>
    </row>
    <row r="709" spans="5:11" x14ac:dyDescent="0.2">
      <c r="E709" s="93"/>
      <c r="K709" s="93"/>
    </row>
    <row r="710" spans="5:11" x14ac:dyDescent="0.2">
      <c r="E710" s="93"/>
      <c r="K710" s="93"/>
    </row>
    <row r="711" spans="5:11" x14ac:dyDescent="0.2">
      <c r="E711" s="93"/>
      <c r="K711" s="93"/>
    </row>
    <row r="712" spans="5:11" x14ac:dyDescent="0.2">
      <c r="E712" s="93"/>
      <c r="K712" s="93"/>
    </row>
    <row r="713" spans="5:11" x14ac:dyDescent="0.2">
      <c r="E713" s="93"/>
      <c r="K713" s="93"/>
    </row>
    <row r="714" spans="5:11" x14ac:dyDescent="0.2">
      <c r="E714" s="93"/>
      <c r="K714" s="93"/>
    </row>
    <row r="715" spans="5:11" x14ac:dyDescent="0.2">
      <c r="E715" s="93"/>
      <c r="K715" s="93"/>
    </row>
    <row r="716" spans="5:11" x14ac:dyDescent="0.2">
      <c r="E716" s="93"/>
      <c r="K716" s="93"/>
    </row>
    <row r="717" spans="5:11" x14ac:dyDescent="0.2">
      <c r="E717" s="93"/>
      <c r="K717" s="93"/>
    </row>
    <row r="718" spans="5:11" x14ac:dyDescent="0.2">
      <c r="K718" s="93"/>
    </row>
    <row r="719" spans="5:11" x14ac:dyDescent="0.2">
      <c r="E719" s="93"/>
      <c r="K719" s="93"/>
    </row>
    <row r="720" spans="5:11" x14ac:dyDescent="0.2">
      <c r="E720" s="93"/>
      <c r="K720" s="93"/>
    </row>
    <row r="721" spans="5:11" x14ac:dyDescent="0.2">
      <c r="E721" s="93"/>
      <c r="K721" s="93"/>
    </row>
    <row r="722" spans="5:11" x14ac:dyDescent="0.2">
      <c r="E722" s="93"/>
      <c r="K722" s="93"/>
    </row>
    <row r="723" spans="5:11" x14ac:dyDescent="0.2">
      <c r="K723" s="93"/>
    </row>
    <row r="724" spans="5:11" x14ac:dyDescent="0.2">
      <c r="E724" s="93"/>
      <c r="K724" s="93"/>
    </row>
    <row r="725" spans="5:11" x14ac:dyDescent="0.2">
      <c r="E725" s="93"/>
      <c r="K725" s="93"/>
    </row>
    <row r="726" spans="5:11" x14ac:dyDescent="0.2">
      <c r="E726" s="93"/>
      <c r="K726" s="93"/>
    </row>
    <row r="727" spans="5:11" x14ac:dyDescent="0.2">
      <c r="E727" s="93"/>
      <c r="K727" s="93"/>
    </row>
    <row r="728" spans="5:11" x14ac:dyDescent="0.2">
      <c r="E728" s="93"/>
      <c r="K728" s="93"/>
    </row>
    <row r="729" spans="5:11" x14ac:dyDescent="0.2">
      <c r="E729" s="93"/>
      <c r="K729" s="93"/>
    </row>
    <row r="730" spans="5:11" x14ac:dyDescent="0.2">
      <c r="E730" s="93"/>
      <c r="K730" s="93"/>
    </row>
    <row r="731" spans="5:11" x14ac:dyDescent="0.2">
      <c r="K731" s="93"/>
    </row>
    <row r="732" spans="5:11" x14ac:dyDescent="0.2">
      <c r="E732" s="93"/>
      <c r="K732" s="93"/>
    </row>
    <row r="733" spans="5:11" x14ac:dyDescent="0.2">
      <c r="K733" s="93"/>
    </row>
    <row r="734" spans="5:11" x14ac:dyDescent="0.2">
      <c r="K734" s="93"/>
    </row>
    <row r="735" spans="5:11" x14ac:dyDescent="0.2">
      <c r="E735" s="93"/>
      <c r="K735" s="93"/>
    </row>
    <row r="736" spans="5:11" x14ac:dyDescent="0.2">
      <c r="E736" s="93"/>
      <c r="K736" s="93"/>
    </row>
    <row r="737" spans="5:11" x14ac:dyDescent="0.2">
      <c r="K737" s="93"/>
    </row>
    <row r="738" spans="5:11" x14ac:dyDescent="0.2">
      <c r="K738" s="93"/>
    </row>
    <row r="739" spans="5:11" x14ac:dyDescent="0.2">
      <c r="E739" s="93"/>
      <c r="K739" s="93"/>
    </row>
    <row r="740" spans="5:11" x14ac:dyDescent="0.2">
      <c r="K740" s="93"/>
    </row>
    <row r="741" spans="5:11" x14ac:dyDescent="0.2">
      <c r="K741" s="93"/>
    </row>
    <row r="742" spans="5:11" x14ac:dyDescent="0.2">
      <c r="K742" s="93"/>
    </row>
    <row r="743" spans="5:11" x14ac:dyDescent="0.2">
      <c r="K743" s="93"/>
    </row>
    <row r="744" spans="5:11" x14ac:dyDescent="0.2">
      <c r="E744" s="93"/>
      <c r="K744" s="93"/>
    </row>
    <row r="745" spans="5:11" x14ac:dyDescent="0.2">
      <c r="K745" s="93"/>
    </row>
    <row r="746" spans="5:11" x14ac:dyDescent="0.2">
      <c r="K746" s="93"/>
    </row>
    <row r="747" spans="5:11" x14ac:dyDescent="0.2">
      <c r="K747" s="93"/>
    </row>
    <row r="748" spans="5:11" x14ac:dyDescent="0.2">
      <c r="E748" s="93"/>
      <c r="K748" s="93"/>
    </row>
    <row r="749" spans="5:11" x14ac:dyDescent="0.2">
      <c r="E749" s="93"/>
      <c r="K749" s="93"/>
    </row>
    <row r="750" spans="5:11" x14ac:dyDescent="0.2">
      <c r="K750" s="93"/>
    </row>
    <row r="751" spans="5:11" x14ac:dyDescent="0.2">
      <c r="K751" s="93"/>
    </row>
    <row r="752" spans="5:11" x14ac:dyDescent="0.2">
      <c r="K752" s="93"/>
    </row>
    <row r="753" spans="5:11" x14ac:dyDescent="0.2">
      <c r="K753" s="93"/>
    </row>
    <row r="754" spans="5:11" x14ac:dyDescent="0.2">
      <c r="K754" s="93"/>
    </row>
    <row r="755" spans="5:11" x14ac:dyDescent="0.2">
      <c r="E755" s="93"/>
      <c r="K755" s="93"/>
    </row>
    <row r="756" spans="5:11" x14ac:dyDescent="0.2">
      <c r="E756" s="93"/>
      <c r="K756" s="93"/>
    </row>
    <row r="757" spans="5:11" x14ac:dyDescent="0.2">
      <c r="E757" s="93"/>
      <c r="K757" s="93"/>
    </row>
    <row r="758" spans="5:11" x14ac:dyDescent="0.2">
      <c r="E758" s="93"/>
      <c r="K758" s="93"/>
    </row>
    <row r="759" spans="5:11" x14ac:dyDescent="0.2">
      <c r="E759" s="93"/>
      <c r="K759" s="93"/>
    </row>
    <row r="760" spans="5:11" x14ac:dyDescent="0.2">
      <c r="E760" s="93"/>
      <c r="K760" s="93"/>
    </row>
    <row r="761" spans="5:11" x14ac:dyDescent="0.2">
      <c r="E761" s="93"/>
      <c r="K761" s="93"/>
    </row>
    <row r="762" spans="5:11" x14ac:dyDescent="0.2">
      <c r="K762" s="93"/>
    </row>
    <row r="763" spans="5:11" x14ac:dyDescent="0.2">
      <c r="E763" s="93"/>
      <c r="K763" s="93"/>
    </row>
    <row r="764" spans="5:11" x14ac:dyDescent="0.2">
      <c r="E764" s="93"/>
      <c r="K764" s="93"/>
    </row>
    <row r="765" spans="5:11" x14ac:dyDescent="0.2">
      <c r="K765" s="93"/>
    </row>
    <row r="766" spans="5:11" x14ac:dyDescent="0.2">
      <c r="E766" s="93"/>
      <c r="K766" s="93"/>
    </row>
    <row r="767" spans="5:11" x14ac:dyDescent="0.2">
      <c r="E767" s="93"/>
      <c r="K767" s="93"/>
    </row>
    <row r="768" spans="5:11" x14ac:dyDescent="0.2">
      <c r="E768" s="93"/>
      <c r="K768" s="93"/>
    </row>
    <row r="769" spans="5:11" x14ac:dyDescent="0.2">
      <c r="E769" s="93"/>
      <c r="K769" s="93"/>
    </row>
    <row r="770" spans="5:11" x14ac:dyDescent="0.2">
      <c r="E770" s="93"/>
      <c r="K770" s="93"/>
    </row>
    <row r="771" spans="5:11" x14ac:dyDescent="0.2">
      <c r="E771" s="93"/>
      <c r="K771" s="93"/>
    </row>
    <row r="772" spans="5:11" x14ac:dyDescent="0.2">
      <c r="E772" s="93"/>
      <c r="K772" s="93"/>
    </row>
    <row r="773" spans="5:11" x14ac:dyDescent="0.2">
      <c r="E773" s="93"/>
      <c r="K773" s="93"/>
    </row>
    <row r="774" spans="5:11" x14ac:dyDescent="0.2">
      <c r="K774" s="93"/>
    </row>
    <row r="775" spans="5:11" x14ac:dyDescent="0.2">
      <c r="E775" s="93"/>
      <c r="K775" s="93"/>
    </row>
    <row r="776" spans="5:11" x14ac:dyDescent="0.2">
      <c r="E776" s="93"/>
      <c r="K776" s="93"/>
    </row>
    <row r="777" spans="5:11" x14ac:dyDescent="0.2">
      <c r="E777" s="93"/>
      <c r="K777" s="93"/>
    </row>
    <row r="778" spans="5:11" x14ac:dyDescent="0.2">
      <c r="E778" s="93"/>
      <c r="K778" s="93"/>
    </row>
    <row r="779" spans="5:11" x14ac:dyDescent="0.2">
      <c r="E779" s="93"/>
      <c r="K779" s="93"/>
    </row>
    <row r="780" spans="5:11" x14ac:dyDescent="0.2">
      <c r="E780" s="93"/>
      <c r="K780" s="93"/>
    </row>
    <row r="781" spans="5:11" x14ac:dyDescent="0.2">
      <c r="E781" s="93"/>
      <c r="K781" s="93"/>
    </row>
    <row r="782" spans="5:11" x14ac:dyDescent="0.2">
      <c r="E782" s="93"/>
      <c r="K782" s="93"/>
    </row>
    <row r="783" spans="5:11" x14ac:dyDescent="0.2">
      <c r="K783" s="93"/>
    </row>
    <row r="784" spans="5:11" x14ac:dyDescent="0.2">
      <c r="E784" s="93"/>
      <c r="K784" s="93"/>
    </row>
    <row r="785" spans="5:11" x14ac:dyDescent="0.2">
      <c r="E785" s="93"/>
      <c r="K785" s="93"/>
    </row>
    <row r="786" spans="5:11" x14ac:dyDescent="0.2">
      <c r="K786" s="93"/>
    </row>
    <row r="787" spans="5:11" x14ac:dyDescent="0.2">
      <c r="E787" s="93"/>
      <c r="K787" s="93"/>
    </row>
    <row r="788" spans="5:11" x14ac:dyDescent="0.2">
      <c r="E788" s="93"/>
      <c r="K788" s="93"/>
    </row>
    <row r="789" spans="5:11" x14ac:dyDescent="0.2">
      <c r="E789" s="93"/>
      <c r="K789" s="93"/>
    </row>
    <row r="790" spans="5:11" x14ac:dyDescent="0.2">
      <c r="E790" s="93"/>
      <c r="K790" s="93"/>
    </row>
    <row r="791" spans="5:11" x14ac:dyDescent="0.2">
      <c r="E791" s="93"/>
      <c r="K791" s="93"/>
    </row>
    <row r="792" spans="5:11" x14ac:dyDescent="0.2">
      <c r="K792" s="93"/>
    </row>
    <row r="793" spans="5:11" x14ac:dyDescent="0.2">
      <c r="K793" s="93"/>
    </row>
    <row r="794" spans="5:11" x14ac:dyDescent="0.2">
      <c r="E794" s="93"/>
      <c r="K794" s="93"/>
    </row>
    <row r="795" spans="5:11" x14ac:dyDescent="0.2">
      <c r="E795" s="93"/>
      <c r="K795" s="93"/>
    </row>
    <row r="796" spans="5:11" x14ac:dyDescent="0.2">
      <c r="K796" s="93"/>
    </row>
    <row r="797" spans="5:11" x14ac:dyDescent="0.2">
      <c r="K797" s="93"/>
    </row>
    <row r="798" spans="5:11" x14ac:dyDescent="0.2">
      <c r="K798" s="93"/>
    </row>
    <row r="799" spans="5:11" x14ac:dyDescent="0.2">
      <c r="E799" s="93"/>
      <c r="K799" s="93"/>
    </row>
    <row r="800" spans="5:11" x14ac:dyDescent="0.2">
      <c r="E800" s="93"/>
      <c r="K800" s="93"/>
    </row>
    <row r="801" spans="5:11" x14ac:dyDescent="0.2">
      <c r="E801" s="93"/>
      <c r="K801" s="93"/>
    </row>
    <row r="802" spans="5:11" x14ac:dyDescent="0.2">
      <c r="K802" s="93"/>
    </row>
    <row r="803" spans="5:11" x14ac:dyDescent="0.2">
      <c r="K803" s="93"/>
    </row>
    <row r="804" spans="5:11" x14ac:dyDescent="0.2">
      <c r="K804" s="93"/>
    </row>
    <row r="805" spans="5:11" x14ac:dyDescent="0.2">
      <c r="E805" s="93"/>
      <c r="K805" s="93"/>
    </row>
    <row r="806" spans="5:11" x14ac:dyDescent="0.2">
      <c r="E806" s="93"/>
      <c r="K806" s="93"/>
    </row>
    <row r="807" spans="5:11" x14ac:dyDescent="0.2">
      <c r="E807" s="93"/>
      <c r="K807" s="93"/>
    </row>
    <row r="808" spans="5:11" x14ac:dyDescent="0.2">
      <c r="E808" s="93"/>
      <c r="K808" s="93"/>
    </row>
    <row r="809" spans="5:11" x14ac:dyDescent="0.2">
      <c r="E809" s="93"/>
      <c r="K809" s="93"/>
    </row>
    <row r="810" spans="5:11" x14ac:dyDescent="0.2">
      <c r="K810" s="93"/>
    </row>
    <row r="811" spans="5:11" x14ac:dyDescent="0.2">
      <c r="E811" s="93"/>
      <c r="K811" s="93"/>
    </row>
    <row r="812" spans="5:11" x14ac:dyDescent="0.2">
      <c r="E812" s="93"/>
      <c r="K812" s="93"/>
    </row>
    <row r="813" spans="5:11" x14ac:dyDescent="0.2">
      <c r="E813" s="93"/>
      <c r="K813" s="93"/>
    </row>
    <row r="814" spans="5:11" x14ac:dyDescent="0.2">
      <c r="E814" s="93"/>
      <c r="K814" s="93"/>
    </row>
    <row r="815" spans="5:11" x14ac:dyDescent="0.2">
      <c r="E815" s="93"/>
      <c r="K815" s="93"/>
    </row>
    <row r="816" spans="5:11" x14ac:dyDescent="0.2">
      <c r="E816" s="93"/>
      <c r="K816" s="93"/>
    </row>
    <row r="817" spans="5:11" x14ac:dyDescent="0.2">
      <c r="K817" s="93"/>
    </row>
    <row r="818" spans="5:11" x14ac:dyDescent="0.2">
      <c r="K818" s="93"/>
    </row>
    <row r="819" spans="5:11" x14ac:dyDescent="0.2">
      <c r="E819" s="93"/>
      <c r="K819" s="93"/>
    </row>
    <row r="820" spans="5:11" x14ac:dyDescent="0.2">
      <c r="E820" s="93"/>
      <c r="K820" s="93"/>
    </row>
    <row r="821" spans="5:11" x14ac:dyDescent="0.2">
      <c r="K821" s="93"/>
    </row>
    <row r="822" spans="5:11" x14ac:dyDescent="0.2">
      <c r="K822" s="93"/>
    </row>
    <row r="823" spans="5:11" x14ac:dyDescent="0.2">
      <c r="E823" s="93"/>
      <c r="K823" s="93"/>
    </row>
    <row r="824" spans="5:11" x14ac:dyDescent="0.2">
      <c r="E824" s="93"/>
      <c r="K824" s="93"/>
    </row>
    <row r="825" spans="5:11" x14ac:dyDescent="0.2">
      <c r="K825" s="93"/>
    </row>
    <row r="826" spans="5:11" x14ac:dyDescent="0.2">
      <c r="E826" s="93"/>
      <c r="K826" s="93"/>
    </row>
    <row r="827" spans="5:11" x14ac:dyDescent="0.2">
      <c r="K827" s="93"/>
    </row>
    <row r="828" spans="5:11" x14ac:dyDescent="0.2">
      <c r="E828" s="93"/>
      <c r="K828" s="93"/>
    </row>
    <row r="829" spans="5:11" x14ac:dyDescent="0.2">
      <c r="E829" s="93"/>
      <c r="K829" s="93"/>
    </row>
    <row r="830" spans="5:11" x14ac:dyDescent="0.2">
      <c r="E830" s="93"/>
      <c r="K830" s="93"/>
    </row>
    <row r="831" spans="5:11" x14ac:dyDescent="0.2">
      <c r="E831" s="93"/>
      <c r="K831" s="93"/>
    </row>
    <row r="832" spans="5:11" x14ac:dyDescent="0.2">
      <c r="E832" s="93"/>
      <c r="K832" s="93"/>
    </row>
    <row r="833" spans="5:11" x14ac:dyDescent="0.2">
      <c r="K833" s="93"/>
    </row>
    <row r="834" spans="5:11" x14ac:dyDescent="0.2">
      <c r="E834" s="93"/>
      <c r="K834" s="93"/>
    </row>
    <row r="835" spans="5:11" x14ac:dyDescent="0.2">
      <c r="E835" s="93"/>
      <c r="K835" s="93"/>
    </row>
    <row r="836" spans="5:11" x14ac:dyDescent="0.2">
      <c r="E836" s="93"/>
      <c r="K836" s="93"/>
    </row>
    <row r="837" spans="5:11" x14ac:dyDescent="0.2">
      <c r="K837" s="93"/>
    </row>
    <row r="838" spans="5:11" x14ac:dyDescent="0.2">
      <c r="E838" s="93"/>
      <c r="K838" s="93"/>
    </row>
    <row r="839" spans="5:11" x14ac:dyDescent="0.2">
      <c r="E839" s="93"/>
      <c r="K839" s="93"/>
    </row>
    <row r="840" spans="5:11" x14ac:dyDescent="0.2">
      <c r="K840" s="93"/>
    </row>
    <row r="841" spans="5:11" x14ac:dyDescent="0.2">
      <c r="E841" s="93"/>
      <c r="K841" s="93"/>
    </row>
    <row r="842" spans="5:11" x14ac:dyDescent="0.2">
      <c r="E842" s="93"/>
      <c r="K842" s="93"/>
    </row>
    <row r="843" spans="5:11" x14ac:dyDescent="0.2">
      <c r="K843" s="93"/>
    </row>
    <row r="844" spans="5:11" x14ac:dyDescent="0.2">
      <c r="E844" s="93"/>
      <c r="K844" s="93"/>
    </row>
    <row r="845" spans="5:11" x14ac:dyDescent="0.2">
      <c r="E845" s="93"/>
      <c r="K845" s="93"/>
    </row>
    <row r="846" spans="5:11" x14ac:dyDescent="0.2">
      <c r="E846" s="93"/>
      <c r="K846" s="93"/>
    </row>
    <row r="847" spans="5:11" x14ac:dyDescent="0.2">
      <c r="E847" s="93"/>
      <c r="K847" s="93"/>
    </row>
    <row r="848" spans="5:11" x14ac:dyDescent="0.2">
      <c r="E848" s="93"/>
      <c r="K848" s="93"/>
    </row>
    <row r="849" spans="5:11" x14ac:dyDescent="0.2">
      <c r="E849" s="93"/>
      <c r="K849" s="93"/>
    </row>
    <row r="850" spans="5:11" x14ac:dyDescent="0.2">
      <c r="E850" s="93"/>
      <c r="K850" s="93"/>
    </row>
    <row r="851" spans="5:11" x14ac:dyDescent="0.2">
      <c r="E851" s="93"/>
      <c r="K851" s="93"/>
    </row>
    <row r="852" spans="5:11" x14ac:dyDescent="0.2">
      <c r="E852" s="93"/>
      <c r="K852" s="93"/>
    </row>
    <row r="853" spans="5:11" x14ac:dyDescent="0.2">
      <c r="E853" s="93"/>
      <c r="K853" s="93"/>
    </row>
    <row r="854" spans="5:11" x14ac:dyDescent="0.2">
      <c r="K854" s="93"/>
    </row>
    <row r="855" spans="5:11" x14ac:dyDescent="0.2">
      <c r="E855" s="93"/>
      <c r="K855" s="93"/>
    </row>
    <row r="856" spans="5:11" x14ac:dyDescent="0.2">
      <c r="E856" s="93"/>
      <c r="K856" s="93"/>
    </row>
    <row r="857" spans="5:11" x14ac:dyDescent="0.2">
      <c r="E857" s="93"/>
      <c r="K857" s="93"/>
    </row>
    <row r="858" spans="5:11" x14ac:dyDescent="0.2">
      <c r="K858" s="93"/>
    </row>
    <row r="859" spans="5:11" x14ac:dyDescent="0.2">
      <c r="E859" s="93"/>
      <c r="K859" s="93"/>
    </row>
    <row r="860" spans="5:11" x14ac:dyDescent="0.2">
      <c r="E860" s="93"/>
      <c r="K860" s="93"/>
    </row>
    <row r="861" spans="5:11" x14ac:dyDescent="0.2">
      <c r="K861" s="93"/>
    </row>
    <row r="862" spans="5:11" x14ac:dyDescent="0.2">
      <c r="E862" s="93"/>
      <c r="K862" s="93"/>
    </row>
    <row r="863" spans="5:11" x14ac:dyDescent="0.2">
      <c r="K863" s="93"/>
    </row>
    <row r="864" spans="5:11" x14ac:dyDescent="0.2">
      <c r="K864" s="93"/>
    </row>
    <row r="865" spans="5:11" x14ac:dyDescent="0.2">
      <c r="E865" s="93"/>
      <c r="K865" s="93"/>
    </row>
    <row r="866" spans="5:11" x14ac:dyDescent="0.2">
      <c r="E866" s="93"/>
      <c r="K866" s="93"/>
    </row>
    <row r="867" spans="5:11" x14ac:dyDescent="0.2">
      <c r="E867" s="93"/>
      <c r="K867" s="93"/>
    </row>
    <row r="868" spans="5:11" x14ac:dyDescent="0.2">
      <c r="K868" s="93"/>
    </row>
    <row r="869" spans="5:11" x14ac:dyDescent="0.2">
      <c r="E869" s="93"/>
      <c r="K869" s="93"/>
    </row>
    <row r="870" spans="5:11" x14ac:dyDescent="0.2">
      <c r="E870" s="93"/>
      <c r="K870" s="93"/>
    </row>
    <row r="871" spans="5:11" x14ac:dyDescent="0.2">
      <c r="E871" s="93"/>
      <c r="K871" s="93"/>
    </row>
    <row r="872" spans="5:11" x14ac:dyDescent="0.2">
      <c r="E872" s="93"/>
      <c r="K872" s="93"/>
    </row>
    <row r="873" spans="5:11" x14ac:dyDescent="0.2">
      <c r="K873" s="93"/>
    </row>
    <row r="874" spans="5:11" x14ac:dyDescent="0.2">
      <c r="E874" s="93"/>
      <c r="K874" s="93"/>
    </row>
    <row r="875" spans="5:11" x14ac:dyDescent="0.2">
      <c r="E875" s="93"/>
      <c r="K875" s="93"/>
    </row>
    <row r="876" spans="5:11" x14ac:dyDescent="0.2">
      <c r="E876" s="93"/>
      <c r="K876" s="93"/>
    </row>
    <row r="877" spans="5:11" x14ac:dyDescent="0.2">
      <c r="E877" s="93"/>
      <c r="K877" s="93"/>
    </row>
    <row r="878" spans="5:11" x14ac:dyDescent="0.2">
      <c r="E878" s="93"/>
      <c r="K878" s="93"/>
    </row>
    <row r="879" spans="5:11" x14ac:dyDescent="0.2">
      <c r="K879" s="93"/>
    </row>
    <row r="880" spans="5:11" x14ac:dyDescent="0.2">
      <c r="E880" s="93"/>
      <c r="K880" s="93"/>
    </row>
    <row r="881" spans="5:11" x14ac:dyDescent="0.2">
      <c r="E881" s="93"/>
      <c r="K881" s="93"/>
    </row>
    <row r="882" spans="5:11" x14ac:dyDescent="0.2">
      <c r="E882" s="93"/>
      <c r="K882" s="93"/>
    </row>
    <row r="883" spans="5:11" x14ac:dyDescent="0.2">
      <c r="E883" s="93"/>
      <c r="K883" s="93"/>
    </row>
    <row r="884" spans="5:11" x14ac:dyDescent="0.2">
      <c r="K884" s="93"/>
    </row>
    <row r="885" spans="5:11" x14ac:dyDescent="0.2">
      <c r="E885" s="93"/>
      <c r="K885" s="93"/>
    </row>
    <row r="886" spans="5:11" x14ac:dyDescent="0.2">
      <c r="E886" s="93"/>
      <c r="K886" s="93"/>
    </row>
    <row r="887" spans="5:11" x14ac:dyDescent="0.2">
      <c r="K887" s="93"/>
    </row>
    <row r="888" spans="5:11" x14ac:dyDescent="0.2">
      <c r="E888" s="93"/>
      <c r="K888" s="93"/>
    </row>
    <row r="889" spans="5:11" x14ac:dyDescent="0.2">
      <c r="E889" s="93"/>
      <c r="K889" s="93"/>
    </row>
    <row r="890" spans="5:11" x14ac:dyDescent="0.2">
      <c r="E890" s="93"/>
      <c r="K890" s="93"/>
    </row>
    <row r="891" spans="5:11" x14ac:dyDescent="0.2">
      <c r="K891" s="93"/>
    </row>
    <row r="892" spans="5:11" x14ac:dyDescent="0.2">
      <c r="E892" s="93"/>
      <c r="K892" s="93"/>
    </row>
    <row r="893" spans="5:11" x14ac:dyDescent="0.2">
      <c r="E893" s="93"/>
      <c r="K893" s="93"/>
    </row>
    <row r="894" spans="5:11" x14ac:dyDescent="0.2">
      <c r="E894" s="93"/>
      <c r="K894" s="93"/>
    </row>
    <row r="895" spans="5:11" x14ac:dyDescent="0.2">
      <c r="E895" s="93"/>
      <c r="K895" s="93"/>
    </row>
    <row r="896" spans="5:11" x14ac:dyDescent="0.2">
      <c r="K896" s="93"/>
    </row>
    <row r="897" spans="5:11" x14ac:dyDescent="0.2">
      <c r="E897" s="93"/>
      <c r="K897" s="93"/>
    </row>
    <row r="898" spans="5:11" x14ac:dyDescent="0.2">
      <c r="K898" s="93"/>
    </row>
    <row r="899" spans="5:11" x14ac:dyDescent="0.2">
      <c r="E899" s="93"/>
      <c r="K899" s="93"/>
    </row>
    <row r="900" spans="5:11" x14ac:dyDescent="0.2">
      <c r="E900" s="93"/>
      <c r="K900" s="93"/>
    </row>
    <row r="901" spans="5:11" x14ac:dyDescent="0.2">
      <c r="E901" s="93"/>
      <c r="K901" s="93"/>
    </row>
    <row r="902" spans="5:11" x14ac:dyDescent="0.2">
      <c r="E902" s="93"/>
      <c r="K902" s="93"/>
    </row>
    <row r="903" spans="5:11" x14ac:dyDescent="0.2">
      <c r="E903" s="93"/>
      <c r="K903" s="93"/>
    </row>
    <row r="904" spans="5:11" x14ac:dyDescent="0.2">
      <c r="E904" s="93"/>
      <c r="K904" s="93"/>
    </row>
    <row r="905" spans="5:11" x14ac:dyDescent="0.2">
      <c r="E905" s="93"/>
      <c r="K905" s="93"/>
    </row>
    <row r="906" spans="5:11" x14ac:dyDescent="0.2">
      <c r="K906" s="93"/>
    </row>
    <row r="907" spans="5:11" x14ac:dyDescent="0.2">
      <c r="K907" s="93"/>
    </row>
    <row r="908" spans="5:11" x14ac:dyDescent="0.2">
      <c r="E908" s="93"/>
      <c r="K908" s="93"/>
    </row>
    <row r="909" spans="5:11" x14ac:dyDescent="0.2">
      <c r="E909" s="93"/>
      <c r="K909" s="93"/>
    </row>
    <row r="910" spans="5:11" x14ac:dyDescent="0.2">
      <c r="E910" s="93"/>
      <c r="K910" s="93"/>
    </row>
    <row r="911" spans="5:11" x14ac:dyDescent="0.2">
      <c r="E911" s="93"/>
      <c r="K911" s="93"/>
    </row>
    <row r="912" spans="5:11" x14ac:dyDescent="0.2">
      <c r="E912" s="93"/>
      <c r="K912" s="93"/>
    </row>
    <row r="913" spans="5:11" x14ac:dyDescent="0.2">
      <c r="E913" s="93"/>
      <c r="K913" s="93"/>
    </row>
    <row r="914" spans="5:11" x14ac:dyDescent="0.2">
      <c r="E914" s="93"/>
      <c r="K914" s="93"/>
    </row>
    <row r="915" spans="5:11" x14ac:dyDescent="0.2">
      <c r="E915" s="93"/>
      <c r="K915" s="93"/>
    </row>
    <row r="916" spans="5:11" x14ac:dyDescent="0.2">
      <c r="E916" s="93"/>
      <c r="K916" s="93"/>
    </row>
    <row r="917" spans="5:11" x14ac:dyDescent="0.2">
      <c r="E917" s="93"/>
      <c r="K917" s="93"/>
    </row>
    <row r="918" spans="5:11" x14ac:dyDescent="0.2">
      <c r="E918" s="93"/>
      <c r="K918" s="93"/>
    </row>
    <row r="919" spans="5:11" x14ac:dyDescent="0.2">
      <c r="E919" s="93"/>
      <c r="K919" s="93"/>
    </row>
    <row r="920" spans="5:11" x14ac:dyDescent="0.2">
      <c r="E920" s="93"/>
      <c r="K920" s="93"/>
    </row>
    <row r="921" spans="5:11" x14ac:dyDescent="0.2">
      <c r="E921" s="93"/>
      <c r="K921" s="93"/>
    </row>
    <row r="922" spans="5:11" x14ac:dyDescent="0.2">
      <c r="E922" s="93"/>
      <c r="K922" s="93"/>
    </row>
    <row r="923" spans="5:11" x14ac:dyDescent="0.2">
      <c r="E923" s="93"/>
      <c r="K923" s="93"/>
    </row>
    <row r="924" spans="5:11" x14ac:dyDescent="0.2">
      <c r="E924" s="93"/>
      <c r="K924" s="93"/>
    </row>
    <row r="925" spans="5:11" x14ac:dyDescent="0.2">
      <c r="K925" s="93"/>
    </row>
    <row r="926" spans="5:11" x14ac:dyDescent="0.2">
      <c r="K926" s="93"/>
    </row>
    <row r="927" spans="5:11" x14ac:dyDescent="0.2">
      <c r="E927" s="93"/>
      <c r="K927" s="93"/>
    </row>
    <row r="928" spans="5:11" x14ac:dyDescent="0.2">
      <c r="E928" s="93"/>
      <c r="K928" s="93"/>
    </row>
    <row r="929" spans="5:11" x14ac:dyDescent="0.2">
      <c r="E929" s="93"/>
      <c r="K929" s="93"/>
    </row>
    <row r="930" spans="5:11" x14ac:dyDescent="0.2">
      <c r="E930" s="93"/>
      <c r="K930" s="93"/>
    </row>
    <row r="931" spans="5:11" x14ac:dyDescent="0.2">
      <c r="E931" s="93"/>
      <c r="K931" s="93"/>
    </row>
    <row r="932" spans="5:11" x14ac:dyDescent="0.2">
      <c r="E932" s="93"/>
      <c r="K932" s="93"/>
    </row>
    <row r="933" spans="5:11" x14ac:dyDescent="0.2">
      <c r="K933" s="93"/>
    </row>
    <row r="934" spans="5:11" x14ac:dyDescent="0.2">
      <c r="E934" s="93"/>
      <c r="K934" s="93"/>
    </row>
    <row r="935" spans="5:11" x14ac:dyDescent="0.2">
      <c r="K935" s="93"/>
    </row>
    <row r="936" spans="5:11" x14ac:dyDescent="0.2">
      <c r="K936" s="93"/>
    </row>
    <row r="937" spans="5:11" x14ac:dyDescent="0.2">
      <c r="E937" s="93"/>
      <c r="K937" s="93"/>
    </row>
    <row r="938" spans="5:11" x14ac:dyDescent="0.2">
      <c r="K938" s="93"/>
    </row>
    <row r="939" spans="5:11" x14ac:dyDescent="0.2">
      <c r="E939" s="93"/>
      <c r="K939" s="93"/>
    </row>
    <row r="940" spans="5:11" x14ac:dyDescent="0.2">
      <c r="E940" s="93"/>
      <c r="K940" s="93"/>
    </row>
    <row r="941" spans="5:11" x14ac:dyDescent="0.2">
      <c r="E941" s="93"/>
      <c r="K941" s="93"/>
    </row>
    <row r="942" spans="5:11" x14ac:dyDescent="0.2">
      <c r="E942" s="93"/>
      <c r="K942" s="93"/>
    </row>
    <row r="943" spans="5:11" x14ac:dyDescent="0.2">
      <c r="E943" s="93"/>
      <c r="K943" s="93"/>
    </row>
    <row r="944" spans="5:11" x14ac:dyDescent="0.2">
      <c r="E944" s="93"/>
      <c r="K944" s="93"/>
    </row>
    <row r="945" spans="5:11" x14ac:dyDescent="0.2">
      <c r="E945" s="93"/>
      <c r="K945" s="93"/>
    </row>
    <row r="946" spans="5:11" x14ac:dyDescent="0.2">
      <c r="E946" s="93"/>
      <c r="K946" s="93"/>
    </row>
    <row r="947" spans="5:11" x14ac:dyDescent="0.2">
      <c r="E947" s="93"/>
      <c r="K947" s="93"/>
    </row>
    <row r="948" spans="5:11" x14ac:dyDescent="0.2">
      <c r="K948" s="93"/>
    </row>
    <row r="949" spans="5:11" x14ac:dyDescent="0.2">
      <c r="E949" s="93"/>
      <c r="K949" s="93"/>
    </row>
    <row r="950" spans="5:11" x14ac:dyDescent="0.2">
      <c r="E950" s="93"/>
      <c r="K950" s="93"/>
    </row>
    <row r="951" spans="5:11" x14ac:dyDescent="0.2">
      <c r="E951" s="93"/>
      <c r="K951" s="93"/>
    </row>
    <row r="952" spans="5:11" x14ac:dyDescent="0.2">
      <c r="K952" s="93"/>
    </row>
    <row r="953" spans="5:11" x14ac:dyDescent="0.2">
      <c r="K953" s="93"/>
    </row>
    <row r="954" spans="5:11" x14ac:dyDescent="0.2">
      <c r="E954" s="93"/>
      <c r="K954" s="93"/>
    </row>
    <row r="955" spans="5:11" x14ac:dyDescent="0.2">
      <c r="E955" s="93"/>
      <c r="K955" s="93"/>
    </row>
    <row r="956" spans="5:11" x14ac:dyDescent="0.2">
      <c r="K956" s="93"/>
    </row>
    <row r="957" spans="5:11" x14ac:dyDescent="0.2">
      <c r="E957" s="93"/>
      <c r="K957" s="93"/>
    </row>
    <row r="958" spans="5:11" x14ac:dyDescent="0.2">
      <c r="E958" s="93"/>
      <c r="K958" s="93"/>
    </row>
    <row r="959" spans="5:11" x14ac:dyDescent="0.2">
      <c r="E959" s="93"/>
      <c r="K959" s="93"/>
    </row>
    <row r="960" spans="5:11" x14ac:dyDescent="0.2">
      <c r="K960" s="93"/>
    </row>
    <row r="961" spans="5:11" x14ac:dyDescent="0.2">
      <c r="E961" s="93"/>
      <c r="K961" s="93"/>
    </row>
    <row r="962" spans="5:11" x14ac:dyDescent="0.2">
      <c r="K962" s="93"/>
    </row>
    <row r="963" spans="5:11" x14ac:dyDescent="0.2">
      <c r="E963" s="93"/>
      <c r="K963" s="93"/>
    </row>
    <row r="964" spans="5:11" x14ac:dyDescent="0.2">
      <c r="E964" s="93"/>
      <c r="K964" s="93"/>
    </row>
    <row r="965" spans="5:11" x14ac:dyDescent="0.2">
      <c r="K965" s="93"/>
    </row>
    <row r="966" spans="5:11" x14ac:dyDescent="0.2">
      <c r="E966" s="93"/>
      <c r="K966" s="93"/>
    </row>
    <row r="967" spans="5:11" x14ac:dyDescent="0.2">
      <c r="E967" s="93"/>
      <c r="K967" s="93"/>
    </row>
    <row r="968" spans="5:11" x14ac:dyDescent="0.2">
      <c r="E968" s="93"/>
      <c r="K968" s="93"/>
    </row>
    <row r="969" spans="5:11" x14ac:dyDescent="0.2">
      <c r="E969" s="93"/>
      <c r="K969" s="93"/>
    </row>
    <row r="970" spans="5:11" x14ac:dyDescent="0.2">
      <c r="K970" s="93"/>
    </row>
    <row r="971" spans="5:11" x14ac:dyDescent="0.2">
      <c r="E971" s="93"/>
      <c r="K971" s="93"/>
    </row>
    <row r="972" spans="5:11" x14ac:dyDescent="0.2">
      <c r="E972" s="93"/>
      <c r="K972" s="93"/>
    </row>
    <row r="973" spans="5:11" x14ac:dyDescent="0.2">
      <c r="E973" s="93"/>
      <c r="K973" s="93"/>
    </row>
    <row r="974" spans="5:11" x14ac:dyDescent="0.2">
      <c r="E974" s="93"/>
      <c r="K974" s="93"/>
    </row>
    <row r="975" spans="5:11" x14ac:dyDescent="0.2">
      <c r="E975" s="93"/>
      <c r="K975" s="93"/>
    </row>
    <row r="976" spans="5:11" x14ac:dyDescent="0.2">
      <c r="E976" s="93"/>
      <c r="K976" s="93"/>
    </row>
    <row r="977" spans="5:11" x14ac:dyDescent="0.2">
      <c r="E977" s="93"/>
      <c r="K977" s="93"/>
    </row>
    <row r="978" spans="5:11" x14ac:dyDescent="0.2">
      <c r="E978" s="93"/>
      <c r="K978" s="93"/>
    </row>
    <row r="979" spans="5:11" x14ac:dyDescent="0.2">
      <c r="E979" s="93"/>
      <c r="K979" s="93"/>
    </row>
    <row r="980" spans="5:11" x14ac:dyDescent="0.2">
      <c r="E980" s="93"/>
      <c r="K980" s="93"/>
    </row>
    <row r="981" spans="5:11" x14ac:dyDescent="0.2">
      <c r="E981" s="93"/>
      <c r="K981" s="93"/>
    </row>
    <row r="982" spans="5:11" x14ac:dyDescent="0.2">
      <c r="E982" s="93"/>
      <c r="K982" s="93"/>
    </row>
    <row r="983" spans="5:11" x14ac:dyDescent="0.2">
      <c r="K983" s="93"/>
    </row>
    <row r="984" spans="5:11" x14ac:dyDescent="0.2">
      <c r="E984" s="93"/>
      <c r="K984" s="93"/>
    </row>
    <row r="985" spans="5:11" x14ac:dyDescent="0.2">
      <c r="K985" s="93"/>
    </row>
    <row r="986" spans="5:11" x14ac:dyDescent="0.2">
      <c r="E986" s="93"/>
      <c r="K986" s="93"/>
    </row>
    <row r="987" spans="5:11" x14ac:dyDescent="0.2">
      <c r="E987" s="93"/>
      <c r="K987" s="93"/>
    </row>
    <row r="988" spans="5:11" x14ac:dyDescent="0.2">
      <c r="E988" s="93"/>
      <c r="K988" s="93"/>
    </row>
    <row r="989" spans="5:11" x14ac:dyDescent="0.2">
      <c r="E989" s="93"/>
      <c r="K989" s="93"/>
    </row>
    <row r="990" spans="5:11" x14ac:dyDescent="0.2">
      <c r="E990" s="93"/>
      <c r="K990" s="93"/>
    </row>
    <row r="991" spans="5:11" x14ac:dyDescent="0.2">
      <c r="E991" s="93"/>
      <c r="K991" s="93"/>
    </row>
    <row r="992" spans="5:11" x14ac:dyDescent="0.2">
      <c r="E992" s="93"/>
      <c r="K992" s="93"/>
    </row>
    <row r="993" spans="5:11" x14ac:dyDescent="0.2">
      <c r="E993" s="93"/>
      <c r="K993" s="93"/>
    </row>
    <row r="994" spans="5:11" x14ac:dyDescent="0.2">
      <c r="E994" s="93"/>
      <c r="K994" s="93"/>
    </row>
    <row r="995" spans="5:11" x14ac:dyDescent="0.2">
      <c r="E995" s="93"/>
      <c r="K995" s="93"/>
    </row>
    <row r="996" spans="5:11" x14ac:dyDescent="0.2">
      <c r="E996" s="93"/>
      <c r="K996" s="93"/>
    </row>
    <row r="997" spans="5:11" x14ac:dyDescent="0.2">
      <c r="E997" s="93"/>
      <c r="K997" s="93"/>
    </row>
    <row r="998" spans="5:11" x14ac:dyDescent="0.2">
      <c r="E998" s="93"/>
      <c r="K998" s="93"/>
    </row>
    <row r="999" spans="5:11" x14ac:dyDescent="0.2">
      <c r="E999" s="93"/>
      <c r="K999" s="93"/>
    </row>
    <row r="1000" spans="5:11" x14ac:dyDescent="0.2">
      <c r="E1000" s="93"/>
      <c r="K1000" s="93"/>
    </row>
    <row r="1001" spans="5:11" x14ac:dyDescent="0.2">
      <c r="E1001" s="93"/>
      <c r="K1001" s="93"/>
    </row>
    <row r="1002" spans="5:11" x14ac:dyDescent="0.2">
      <c r="E1002" s="93"/>
      <c r="K1002" s="93"/>
    </row>
    <row r="1003" spans="5:11" x14ac:dyDescent="0.2">
      <c r="E1003" s="93"/>
      <c r="K1003" s="93"/>
    </row>
    <row r="1004" spans="5:11" x14ac:dyDescent="0.2">
      <c r="E1004" s="93"/>
      <c r="K1004" s="93"/>
    </row>
    <row r="1005" spans="5:11" x14ac:dyDescent="0.2">
      <c r="E1005" s="93"/>
      <c r="K1005" s="93"/>
    </row>
    <row r="1006" spans="5:11" x14ac:dyDescent="0.2">
      <c r="E1006" s="93"/>
      <c r="K1006" s="93"/>
    </row>
    <row r="1007" spans="5:11" x14ac:dyDescent="0.2">
      <c r="E1007" s="93"/>
      <c r="K1007" s="93"/>
    </row>
    <row r="1008" spans="5:11" x14ac:dyDescent="0.2">
      <c r="K1008" s="93"/>
    </row>
    <row r="1009" spans="5:11" x14ac:dyDescent="0.2">
      <c r="E1009" s="93"/>
      <c r="K1009" s="93"/>
    </row>
    <row r="1010" spans="5:11" x14ac:dyDescent="0.2">
      <c r="E1010" s="93"/>
      <c r="K1010" s="93"/>
    </row>
    <row r="1011" spans="5:11" x14ac:dyDescent="0.2">
      <c r="E1011" s="93"/>
      <c r="K1011" s="93"/>
    </row>
    <row r="1012" spans="5:11" x14ac:dyDescent="0.2">
      <c r="E1012" s="93"/>
      <c r="K1012" s="93"/>
    </row>
    <row r="1013" spans="5:11" x14ac:dyDescent="0.2">
      <c r="E1013" s="93"/>
      <c r="K1013" s="93"/>
    </row>
    <row r="1014" spans="5:11" x14ac:dyDescent="0.2">
      <c r="E1014" s="93"/>
      <c r="K1014" s="93"/>
    </row>
    <row r="1015" spans="5:11" x14ac:dyDescent="0.2">
      <c r="E1015" s="93"/>
      <c r="K1015" s="93"/>
    </row>
    <row r="1016" spans="5:11" x14ac:dyDescent="0.2">
      <c r="E1016" s="93"/>
      <c r="K1016" s="93"/>
    </row>
    <row r="1017" spans="5:11" x14ac:dyDescent="0.2">
      <c r="K1017" s="93"/>
    </row>
    <row r="1018" spans="5:11" x14ac:dyDescent="0.2">
      <c r="E1018" s="93"/>
      <c r="K1018" s="93"/>
    </row>
    <row r="1019" spans="5:11" x14ac:dyDescent="0.2">
      <c r="K1019" s="93"/>
    </row>
    <row r="1020" spans="5:11" x14ac:dyDescent="0.2">
      <c r="K1020" s="93"/>
    </row>
    <row r="1021" spans="5:11" x14ac:dyDescent="0.2">
      <c r="E1021" s="93"/>
      <c r="K1021" s="93"/>
    </row>
    <row r="1022" spans="5:11" x14ac:dyDescent="0.2">
      <c r="E1022" s="93"/>
      <c r="K1022" s="93"/>
    </row>
    <row r="1023" spans="5:11" x14ac:dyDescent="0.2">
      <c r="E1023" s="93"/>
      <c r="K1023" s="93"/>
    </row>
    <row r="1024" spans="5:11" x14ac:dyDescent="0.2">
      <c r="E1024" s="93"/>
      <c r="K1024" s="93"/>
    </row>
    <row r="1025" spans="5:11" x14ac:dyDescent="0.2">
      <c r="E1025" s="93"/>
      <c r="K1025" s="93"/>
    </row>
    <row r="1026" spans="5:11" x14ac:dyDescent="0.2">
      <c r="E1026" s="93"/>
      <c r="K1026" s="93"/>
    </row>
    <row r="1027" spans="5:11" x14ac:dyDescent="0.2">
      <c r="K1027" s="93"/>
    </row>
    <row r="1028" spans="5:11" x14ac:dyDescent="0.2">
      <c r="E1028" s="93"/>
      <c r="K1028" s="93"/>
    </row>
    <row r="1029" spans="5:11" x14ac:dyDescent="0.2">
      <c r="E1029" s="93"/>
      <c r="K1029" s="93"/>
    </row>
    <row r="1030" spans="5:11" x14ac:dyDescent="0.2">
      <c r="E1030" s="93"/>
      <c r="K1030" s="93"/>
    </row>
    <row r="1031" spans="5:11" x14ac:dyDescent="0.2">
      <c r="K1031" s="93"/>
    </row>
    <row r="1032" spans="5:11" x14ac:dyDescent="0.2">
      <c r="E1032" s="93"/>
      <c r="K1032" s="93"/>
    </row>
    <row r="1033" spans="5:11" x14ac:dyDescent="0.2">
      <c r="K1033" s="93"/>
    </row>
    <row r="1034" spans="5:11" x14ac:dyDescent="0.2">
      <c r="E1034" s="93"/>
      <c r="K1034" s="93"/>
    </row>
    <row r="1035" spans="5:11" x14ac:dyDescent="0.2">
      <c r="E1035" s="93"/>
      <c r="K1035" s="93"/>
    </row>
    <row r="1036" spans="5:11" x14ac:dyDescent="0.2">
      <c r="K1036" s="93"/>
    </row>
    <row r="1037" spans="5:11" x14ac:dyDescent="0.2">
      <c r="K1037" s="93"/>
    </row>
    <row r="1038" spans="5:11" x14ac:dyDescent="0.2">
      <c r="K1038" s="93"/>
    </row>
    <row r="1039" spans="5:11" x14ac:dyDescent="0.2">
      <c r="K1039" s="93"/>
    </row>
    <row r="1040" spans="5:11" x14ac:dyDescent="0.2">
      <c r="E1040" s="93"/>
      <c r="K1040" s="93"/>
    </row>
    <row r="1041" spans="5:11" x14ac:dyDescent="0.2">
      <c r="K1041" s="93"/>
    </row>
    <row r="1042" spans="5:11" x14ac:dyDescent="0.2">
      <c r="E1042" s="93"/>
      <c r="K1042" s="93"/>
    </row>
    <row r="1043" spans="5:11" x14ac:dyDescent="0.2">
      <c r="K1043" s="93"/>
    </row>
    <row r="1044" spans="5:11" x14ac:dyDescent="0.2">
      <c r="E1044" s="93"/>
      <c r="K1044" s="93"/>
    </row>
    <row r="1045" spans="5:11" x14ac:dyDescent="0.2">
      <c r="E1045" s="93"/>
      <c r="K1045" s="93"/>
    </row>
    <row r="1046" spans="5:11" x14ac:dyDescent="0.2">
      <c r="K1046" s="93"/>
    </row>
    <row r="1047" spans="5:11" x14ac:dyDescent="0.2">
      <c r="E1047" s="93"/>
      <c r="K1047" s="93"/>
    </row>
    <row r="1048" spans="5:11" x14ac:dyDescent="0.2">
      <c r="K1048" s="93"/>
    </row>
    <row r="1049" spans="5:11" x14ac:dyDescent="0.2">
      <c r="E1049" s="93"/>
      <c r="K1049" s="93"/>
    </row>
    <row r="1050" spans="5:11" x14ac:dyDescent="0.2">
      <c r="E1050" s="93"/>
      <c r="K1050" s="93"/>
    </row>
    <row r="1051" spans="5:11" x14ac:dyDescent="0.2">
      <c r="K1051" s="93"/>
    </row>
    <row r="1052" spans="5:11" x14ac:dyDescent="0.2">
      <c r="E1052" s="93"/>
      <c r="K1052" s="93"/>
    </row>
    <row r="1053" spans="5:11" x14ac:dyDescent="0.2">
      <c r="K1053" s="93"/>
    </row>
    <row r="1054" spans="5:11" x14ac:dyDescent="0.2">
      <c r="E1054" s="93"/>
      <c r="K1054" s="93"/>
    </row>
    <row r="1055" spans="5:11" x14ac:dyDescent="0.2">
      <c r="K1055" s="93"/>
    </row>
    <row r="1056" spans="5:11" x14ac:dyDescent="0.2">
      <c r="E1056" s="93"/>
      <c r="K1056" s="93"/>
    </row>
    <row r="1057" spans="5:11" x14ac:dyDescent="0.2">
      <c r="K1057" s="93"/>
    </row>
    <row r="1058" spans="5:11" x14ac:dyDescent="0.2">
      <c r="K1058" s="93"/>
    </row>
    <row r="1059" spans="5:11" x14ac:dyDescent="0.2">
      <c r="K1059" s="93"/>
    </row>
    <row r="1060" spans="5:11" x14ac:dyDescent="0.2">
      <c r="K1060" s="93"/>
    </row>
    <row r="1061" spans="5:11" x14ac:dyDescent="0.2">
      <c r="E1061" s="93"/>
      <c r="K1061" s="93"/>
    </row>
    <row r="1062" spans="5:11" x14ac:dyDescent="0.2">
      <c r="K1062" s="93"/>
    </row>
    <row r="1063" spans="5:11" x14ac:dyDescent="0.2">
      <c r="K1063" s="93"/>
    </row>
    <row r="1064" spans="5:11" x14ac:dyDescent="0.2">
      <c r="K1064" s="93"/>
    </row>
    <row r="1065" spans="5:11" x14ac:dyDescent="0.2">
      <c r="E1065" s="93"/>
      <c r="K1065" s="93"/>
    </row>
    <row r="1066" spans="5:11" x14ac:dyDescent="0.2">
      <c r="K1066" s="93"/>
    </row>
    <row r="1067" spans="5:11" x14ac:dyDescent="0.2">
      <c r="E1067" s="93"/>
      <c r="K1067" s="93"/>
    </row>
    <row r="1068" spans="5:11" x14ac:dyDescent="0.2">
      <c r="E1068" s="93"/>
      <c r="K1068" s="93"/>
    </row>
    <row r="1069" spans="5:11" x14ac:dyDescent="0.2">
      <c r="E1069" s="93"/>
      <c r="K1069" s="93"/>
    </row>
    <row r="1070" spans="5:11" x14ac:dyDescent="0.2">
      <c r="E1070" s="93"/>
      <c r="K1070" s="93"/>
    </row>
    <row r="1071" spans="5:11" x14ac:dyDescent="0.2">
      <c r="E1071" s="93"/>
      <c r="K1071" s="93"/>
    </row>
    <row r="1072" spans="5:11" x14ac:dyDescent="0.2">
      <c r="E1072" s="93"/>
      <c r="K1072" s="93"/>
    </row>
    <row r="1073" spans="5:11" x14ac:dyDescent="0.2">
      <c r="E1073" s="93"/>
      <c r="K1073" s="93"/>
    </row>
    <row r="1074" spans="5:11" x14ac:dyDescent="0.2">
      <c r="K1074" s="93"/>
    </row>
    <row r="1075" spans="5:11" x14ac:dyDescent="0.2">
      <c r="E1075" s="93"/>
      <c r="K1075" s="93"/>
    </row>
    <row r="1076" spans="5:11" x14ac:dyDescent="0.2">
      <c r="K1076" s="93"/>
    </row>
    <row r="1077" spans="5:11" x14ac:dyDescent="0.2">
      <c r="E1077" s="93"/>
      <c r="K1077" s="93"/>
    </row>
    <row r="1078" spans="5:11" x14ac:dyDescent="0.2">
      <c r="K1078" s="93"/>
    </row>
    <row r="1079" spans="5:11" x14ac:dyDescent="0.2">
      <c r="E1079" s="93"/>
      <c r="K1079" s="93"/>
    </row>
    <row r="1080" spans="5:11" x14ac:dyDescent="0.2">
      <c r="E1080" s="93"/>
      <c r="K1080" s="93"/>
    </row>
    <row r="1081" spans="5:11" x14ac:dyDescent="0.2">
      <c r="E1081" s="93"/>
      <c r="K1081" s="93"/>
    </row>
    <row r="1082" spans="5:11" x14ac:dyDescent="0.2">
      <c r="E1082" s="93"/>
      <c r="K1082" s="93"/>
    </row>
    <row r="1083" spans="5:11" x14ac:dyDescent="0.2">
      <c r="K1083" s="93"/>
    </row>
    <row r="1084" spans="5:11" x14ac:dyDescent="0.2">
      <c r="K1084" s="93"/>
    </row>
    <row r="1085" spans="5:11" x14ac:dyDescent="0.2">
      <c r="E1085" s="93"/>
      <c r="K1085" s="93"/>
    </row>
    <row r="1086" spans="5:11" x14ac:dyDescent="0.2">
      <c r="E1086" s="93"/>
      <c r="K1086" s="93"/>
    </row>
    <row r="1087" spans="5:11" x14ac:dyDescent="0.2">
      <c r="E1087" s="93"/>
      <c r="K1087" s="93"/>
    </row>
    <row r="1088" spans="5:11" x14ac:dyDescent="0.2">
      <c r="E1088" s="93"/>
      <c r="K1088" s="93"/>
    </row>
    <row r="1089" spans="5:11" x14ac:dyDescent="0.2">
      <c r="E1089" s="93"/>
      <c r="K1089" s="93"/>
    </row>
    <row r="1090" spans="5:11" x14ac:dyDescent="0.2">
      <c r="E1090" s="93"/>
      <c r="K1090" s="93"/>
    </row>
    <row r="1091" spans="5:11" x14ac:dyDescent="0.2">
      <c r="K1091" s="93"/>
    </row>
    <row r="1092" spans="5:11" x14ac:dyDescent="0.2">
      <c r="E1092" s="93"/>
      <c r="K1092" s="93"/>
    </row>
    <row r="1093" spans="5:11" x14ac:dyDescent="0.2">
      <c r="K1093" s="93"/>
    </row>
    <row r="1094" spans="5:11" x14ac:dyDescent="0.2">
      <c r="E1094" s="93"/>
      <c r="K1094" s="93"/>
    </row>
    <row r="1095" spans="5:11" x14ac:dyDescent="0.2">
      <c r="E1095" s="93"/>
      <c r="K1095" s="93"/>
    </row>
    <row r="1096" spans="5:11" x14ac:dyDescent="0.2">
      <c r="E1096" s="93"/>
      <c r="K1096" s="93"/>
    </row>
    <row r="1097" spans="5:11" x14ac:dyDescent="0.2">
      <c r="E1097" s="93"/>
      <c r="K1097" s="93"/>
    </row>
    <row r="1098" spans="5:11" x14ac:dyDescent="0.2">
      <c r="E1098" s="93"/>
      <c r="K1098" s="93"/>
    </row>
    <row r="1099" spans="5:11" x14ac:dyDescent="0.2">
      <c r="E1099" s="93"/>
      <c r="K1099" s="93"/>
    </row>
    <row r="1100" spans="5:11" x14ac:dyDescent="0.2">
      <c r="E1100" s="93"/>
      <c r="K1100" s="93"/>
    </row>
    <row r="1101" spans="5:11" x14ac:dyDescent="0.2">
      <c r="E1101" s="93"/>
      <c r="K1101" s="93"/>
    </row>
    <row r="1102" spans="5:11" x14ac:dyDescent="0.2">
      <c r="E1102" s="93"/>
      <c r="K1102" s="93"/>
    </row>
    <row r="1103" spans="5:11" x14ac:dyDescent="0.2">
      <c r="K1103" s="93"/>
    </row>
    <row r="1104" spans="5:11" x14ac:dyDescent="0.2">
      <c r="E1104" s="93"/>
      <c r="K1104" s="93"/>
    </row>
    <row r="1105" spans="5:11" x14ac:dyDescent="0.2">
      <c r="E1105" s="93"/>
      <c r="K1105" s="93"/>
    </row>
    <row r="1106" spans="5:11" x14ac:dyDescent="0.2">
      <c r="E1106" s="93"/>
      <c r="K1106" s="93"/>
    </row>
    <row r="1107" spans="5:11" x14ac:dyDescent="0.2">
      <c r="K1107" s="93"/>
    </row>
    <row r="1108" spans="5:11" x14ac:dyDescent="0.2">
      <c r="K1108" s="93"/>
    </row>
    <row r="1109" spans="5:11" x14ac:dyDescent="0.2">
      <c r="K1109" s="93"/>
    </row>
    <row r="1110" spans="5:11" x14ac:dyDescent="0.2">
      <c r="E1110" s="93"/>
      <c r="K1110" s="93"/>
    </row>
    <row r="1111" spans="5:11" x14ac:dyDescent="0.2">
      <c r="E1111" s="93"/>
      <c r="K1111" s="93"/>
    </row>
    <row r="1112" spans="5:11" x14ac:dyDescent="0.2">
      <c r="E1112" s="93"/>
      <c r="K1112" s="93"/>
    </row>
    <row r="1113" spans="5:11" x14ac:dyDescent="0.2">
      <c r="E1113" s="93"/>
      <c r="K1113" s="93"/>
    </row>
    <row r="1114" spans="5:11" x14ac:dyDescent="0.2">
      <c r="K1114" s="93"/>
    </row>
    <row r="1115" spans="5:11" x14ac:dyDescent="0.2">
      <c r="E1115" s="93"/>
      <c r="K1115" s="93"/>
    </row>
    <row r="1116" spans="5:11" x14ac:dyDescent="0.2">
      <c r="E1116" s="93"/>
      <c r="K1116" s="93"/>
    </row>
    <row r="1117" spans="5:11" x14ac:dyDescent="0.2">
      <c r="K1117" s="93"/>
    </row>
    <row r="1118" spans="5:11" x14ac:dyDescent="0.2">
      <c r="E1118" s="93"/>
      <c r="K1118" s="93"/>
    </row>
    <row r="1119" spans="5:11" x14ac:dyDescent="0.2">
      <c r="E1119" s="93"/>
      <c r="K1119" s="93"/>
    </row>
    <row r="1120" spans="5:11" x14ac:dyDescent="0.2">
      <c r="E1120" s="93"/>
      <c r="K1120" s="93"/>
    </row>
    <row r="1121" spans="5:11" x14ac:dyDescent="0.2">
      <c r="E1121" s="93"/>
      <c r="K1121" s="93"/>
    </row>
    <row r="1122" spans="5:11" x14ac:dyDescent="0.2">
      <c r="K1122" s="93"/>
    </row>
    <row r="1123" spans="5:11" x14ac:dyDescent="0.2">
      <c r="K1123" s="93"/>
    </row>
    <row r="1124" spans="5:11" x14ac:dyDescent="0.2">
      <c r="E1124" s="93"/>
      <c r="K1124" s="93"/>
    </row>
    <row r="1125" spans="5:11" x14ac:dyDescent="0.2">
      <c r="E1125" s="93"/>
      <c r="K1125" s="93"/>
    </row>
    <row r="1126" spans="5:11" x14ac:dyDescent="0.2">
      <c r="K1126" s="93"/>
    </row>
    <row r="1127" spans="5:11" x14ac:dyDescent="0.2">
      <c r="E1127" s="93"/>
      <c r="K1127" s="93"/>
    </row>
    <row r="1128" spans="5:11" x14ac:dyDescent="0.2">
      <c r="K1128" s="93"/>
    </row>
    <row r="1129" spans="5:11" x14ac:dyDescent="0.2">
      <c r="E1129" s="93"/>
      <c r="K1129" s="93"/>
    </row>
    <row r="1130" spans="5:11" x14ac:dyDescent="0.2">
      <c r="E1130" s="93"/>
      <c r="K1130" s="93"/>
    </row>
    <row r="1131" spans="5:11" x14ac:dyDescent="0.2">
      <c r="E1131" s="93"/>
      <c r="K1131" s="93"/>
    </row>
    <row r="1132" spans="5:11" x14ac:dyDescent="0.2">
      <c r="E1132" s="93"/>
      <c r="K1132" s="93"/>
    </row>
    <row r="1133" spans="5:11" x14ac:dyDescent="0.2">
      <c r="K1133" s="93"/>
    </row>
    <row r="1134" spans="5:11" x14ac:dyDescent="0.2">
      <c r="E1134" s="93"/>
      <c r="K1134" s="93"/>
    </row>
    <row r="1135" spans="5:11" x14ac:dyDescent="0.2">
      <c r="E1135" s="93"/>
      <c r="K1135" s="93"/>
    </row>
    <row r="1136" spans="5:11" x14ac:dyDescent="0.2">
      <c r="E1136" s="93"/>
      <c r="K1136" s="93"/>
    </row>
    <row r="1137" spans="5:11" x14ac:dyDescent="0.2">
      <c r="E1137" s="93"/>
      <c r="K1137" s="93"/>
    </row>
    <row r="1138" spans="5:11" x14ac:dyDescent="0.2">
      <c r="K1138" s="93"/>
    </row>
    <row r="1139" spans="5:11" x14ac:dyDescent="0.2">
      <c r="E1139" s="93"/>
      <c r="K1139" s="93"/>
    </row>
    <row r="1140" spans="5:11" x14ac:dyDescent="0.2">
      <c r="K1140" s="93"/>
    </row>
    <row r="1141" spans="5:11" x14ac:dyDescent="0.2">
      <c r="K1141" s="93"/>
    </row>
    <row r="1142" spans="5:11" x14ac:dyDescent="0.2">
      <c r="K1142" s="93"/>
    </row>
    <row r="1143" spans="5:11" x14ac:dyDescent="0.2">
      <c r="E1143" s="93"/>
      <c r="K1143" s="93"/>
    </row>
    <row r="1144" spans="5:11" x14ac:dyDescent="0.2">
      <c r="K1144" s="93"/>
    </row>
    <row r="1145" spans="5:11" x14ac:dyDescent="0.2">
      <c r="E1145" s="93"/>
      <c r="K1145" s="93"/>
    </row>
    <row r="1146" spans="5:11" x14ac:dyDescent="0.2">
      <c r="E1146" s="93"/>
      <c r="K1146" s="93"/>
    </row>
    <row r="1147" spans="5:11" x14ac:dyDescent="0.2">
      <c r="E1147" s="93"/>
      <c r="K1147" s="93"/>
    </row>
    <row r="1148" spans="5:11" x14ac:dyDescent="0.2">
      <c r="K1148" s="93"/>
    </row>
    <row r="1149" spans="5:11" x14ac:dyDescent="0.2">
      <c r="E1149" s="93"/>
      <c r="K1149" s="93"/>
    </row>
    <row r="1150" spans="5:11" x14ac:dyDescent="0.2">
      <c r="K1150" s="93"/>
    </row>
    <row r="1151" spans="5:11" x14ac:dyDescent="0.2">
      <c r="E1151" s="93"/>
      <c r="K1151" s="93"/>
    </row>
    <row r="1152" spans="5:11" x14ac:dyDescent="0.2">
      <c r="E1152" s="93"/>
      <c r="K1152" s="93"/>
    </row>
    <row r="1153" spans="5:11" x14ac:dyDescent="0.2">
      <c r="E1153" s="93"/>
      <c r="K1153" s="93"/>
    </row>
    <row r="1154" spans="5:11" x14ac:dyDescent="0.2">
      <c r="E1154" s="93"/>
      <c r="K1154" s="93"/>
    </row>
    <row r="1155" spans="5:11" x14ac:dyDescent="0.2">
      <c r="K1155" s="93"/>
    </row>
    <row r="1156" spans="5:11" x14ac:dyDescent="0.2">
      <c r="E1156" s="93"/>
      <c r="K1156" s="93"/>
    </row>
    <row r="1157" spans="5:11" x14ac:dyDescent="0.2">
      <c r="E1157" s="93"/>
      <c r="K1157" s="93"/>
    </row>
    <row r="1158" spans="5:11" x14ac:dyDescent="0.2">
      <c r="E1158" s="93"/>
      <c r="K1158" s="93"/>
    </row>
    <row r="1159" spans="5:11" x14ac:dyDescent="0.2">
      <c r="E1159" s="93"/>
      <c r="K1159" s="93"/>
    </row>
    <row r="1160" spans="5:11" x14ac:dyDescent="0.2">
      <c r="E1160" s="93"/>
      <c r="K1160" s="93"/>
    </row>
    <row r="1161" spans="5:11" x14ac:dyDescent="0.2">
      <c r="K1161" s="93"/>
    </row>
    <row r="1162" spans="5:11" x14ac:dyDescent="0.2">
      <c r="E1162" s="93"/>
      <c r="K1162" s="93"/>
    </row>
    <row r="1163" spans="5:11" x14ac:dyDescent="0.2">
      <c r="E1163" s="93"/>
      <c r="K1163" s="93"/>
    </row>
    <row r="1164" spans="5:11" x14ac:dyDescent="0.2">
      <c r="E1164" s="93"/>
      <c r="K1164" s="93"/>
    </row>
    <row r="1165" spans="5:11" x14ac:dyDescent="0.2">
      <c r="E1165" s="93"/>
      <c r="K1165" s="93"/>
    </row>
    <row r="1166" spans="5:11" x14ac:dyDescent="0.2">
      <c r="E1166" s="93"/>
      <c r="K1166" s="93"/>
    </row>
    <row r="1167" spans="5:11" x14ac:dyDescent="0.2">
      <c r="K1167" s="93"/>
    </row>
    <row r="1168" spans="5:11" x14ac:dyDescent="0.2">
      <c r="K1168" s="93"/>
    </row>
    <row r="1169" spans="5:11" x14ac:dyDescent="0.2">
      <c r="K1169" s="93"/>
    </row>
    <row r="1170" spans="5:11" x14ac:dyDescent="0.2">
      <c r="K1170" s="93"/>
    </row>
    <row r="1171" spans="5:11" x14ac:dyDescent="0.2">
      <c r="E1171" s="93"/>
      <c r="K1171" s="93"/>
    </row>
    <row r="1172" spans="5:11" x14ac:dyDescent="0.2">
      <c r="K1172" s="93"/>
    </row>
    <row r="1173" spans="5:11" x14ac:dyDescent="0.2">
      <c r="E1173" s="93"/>
      <c r="K1173" s="93"/>
    </row>
    <row r="1174" spans="5:11" x14ac:dyDescent="0.2">
      <c r="K1174" s="93"/>
    </row>
    <row r="1175" spans="5:11" x14ac:dyDescent="0.2">
      <c r="E1175" s="93"/>
      <c r="K1175" s="93"/>
    </row>
    <row r="1176" spans="5:11" x14ac:dyDescent="0.2">
      <c r="E1176" s="93"/>
      <c r="K1176" s="93"/>
    </row>
    <row r="1177" spans="5:11" x14ac:dyDescent="0.2">
      <c r="E1177" s="93"/>
      <c r="K1177" s="93"/>
    </row>
    <row r="1178" spans="5:11" x14ac:dyDescent="0.2">
      <c r="E1178" s="93"/>
      <c r="K1178" s="93"/>
    </row>
    <row r="1179" spans="5:11" x14ac:dyDescent="0.2">
      <c r="E1179" s="93"/>
      <c r="K1179" s="93"/>
    </row>
    <row r="1180" spans="5:11" x14ac:dyDescent="0.2">
      <c r="E1180" s="93"/>
      <c r="K1180" s="93"/>
    </row>
    <row r="1181" spans="5:11" x14ac:dyDescent="0.2">
      <c r="K1181" s="93"/>
    </row>
    <row r="1182" spans="5:11" x14ac:dyDescent="0.2">
      <c r="K1182" s="93"/>
    </row>
    <row r="1183" spans="5:11" x14ac:dyDescent="0.2">
      <c r="E1183" s="93"/>
      <c r="K1183" s="93"/>
    </row>
    <row r="1184" spans="5:11" x14ac:dyDescent="0.2">
      <c r="K1184" s="93"/>
    </row>
    <row r="1185" spans="5:11" x14ac:dyDescent="0.2">
      <c r="K1185" s="93"/>
    </row>
    <row r="1186" spans="5:11" x14ac:dyDescent="0.2">
      <c r="K1186" s="93"/>
    </row>
    <row r="1187" spans="5:11" x14ac:dyDescent="0.2">
      <c r="K1187" s="93"/>
    </row>
    <row r="1188" spans="5:11" x14ac:dyDescent="0.2">
      <c r="E1188" s="93"/>
      <c r="K1188" s="93"/>
    </row>
    <row r="1189" spans="5:11" x14ac:dyDescent="0.2">
      <c r="E1189" s="93"/>
      <c r="K1189" s="93"/>
    </row>
    <row r="1190" spans="5:11" x14ac:dyDescent="0.2">
      <c r="E1190" s="93"/>
      <c r="K1190" s="93"/>
    </row>
    <row r="1191" spans="5:11" x14ac:dyDescent="0.2">
      <c r="K1191" s="93"/>
    </row>
    <row r="1192" spans="5:11" x14ac:dyDescent="0.2">
      <c r="E1192" s="93"/>
      <c r="K1192" s="93"/>
    </row>
    <row r="1193" spans="5:11" x14ac:dyDescent="0.2">
      <c r="E1193" s="93"/>
      <c r="K1193" s="93"/>
    </row>
    <row r="1194" spans="5:11" x14ac:dyDescent="0.2">
      <c r="K1194" s="93"/>
    </row>
    <row r="1195" spans="5:11" x14ac:dyDescent="0.2">
      <c r="E1195" s="93"/>
      <c r="K1195" s="93"/>
    </row>
    <row r="1196" spans="5:11" x14ac:dyDescent="0.2">
      <c r="E1196" s="93"/>
      <c r="K1196" s="93"/>
    </row>
    <row r="1197" spans="5:11" x14ac:dyDescent="0.2">
      <c r="E1197" s="93"/>
      <c r="K1197" s="93"/>
    </row>
    <row r="1198" spans="5:11" x14ac:dyDescent="0.2">
      <c r="K1198" s="93"/>
    </row>
    <row r="1199" spans="5:11" x14ac:dyDescent="0.2">
      <c r="E1199" s="93"/>
      <c r="K1199" s="93"/>
    </row>
    <row r="1200" spans="5:11" x14ac:dyDescent="0.2">
      <c r="E1200" s="93"/>
      <c r="K1200" s="93"/>
    </row>
    <row r="1201" spans="5:11" x14ac:dyDescent="0.2">
      <c r="K1201" s="93"/>
    </row>
    <row r="1202" spans="5:11" x14ac:dyDescent="0.2">
      <c r="E1202" s="93"/>
      <c r="K1202" s="93"/>
    </row>
    <row r="1203" spans="5:11" x14ac:dyDescent="0.2">
      <c r="K1203" s="93"/>
    </row>
    <row r="1204" spans="5:11" x14ac:dyDescent="0.2">
      <c r="K1204" s="93"/>
    </row>
    <row r="1205" spans="5:11" x14ac:dyDescent="0.2">
      <c r="E1205" s="93"/>
      <c r="K1205" s="93"/>
    </row>
    <row r="1206" spans="5:11" x14ac:dyDescent="0.2">
      <c r="E1206" s="93"/>
      <c r="K1206" s="93"/>
    </row>
    <row r="1207" spans="5:11" x14ac:dyDescent="0.2">
      <c r="E1207" s="93"/>
      <c r="K1207" s="93"/>
    </row>
    <row r="1208" spans="5:11" x14ac:dyDescent="0.2">
      <c r="E1208" s="93"/>
      <c r="K1208" s="93"/>
    </row>
    <row r="1209" spans="5:11" x14ac:dyDescent="0.2">
      <c r="K1209" s="93"/>
    </row>
    <row r="1210" spans="5:11" x14ac:dyDescent="0.2">
      <c r="E1210" s="93"/>
      <c r="K1210" s="93"/>
    </row>
    <row r="1211" spans="5:11" x14ac:dyDescent="0.2">
      <c r="K1211" s="93"/>
    </row>
    <row r="1212" spans="5:11" x14ac:dyDescent="0.2">
      <c r="E1212" s="93"/>
      <c r="K1212" s="93"/>
    </row>
    <row r="1213" spans="5:11" x14ac:dyDescent="0.2">
      <c r="K1213" s="93"/>
    </row>
    <row r="1214" spans="5:11" x14ac:dyDescent="0.2">
      <c r="K1214" s="93"/>
    </row>
    <row r="1215" spans="5:11" x14ac:dyDescent="0.2">
      <c r="E1215" s="93"/>
      <c r="K1215" s="93"/>
    </row>
    <row r="1216" spans="5:11" x14ac:dyDescent="0.2">
      <c r="E1216" s="93"/>
      <c r="K1216" s="93"/>
    </row>
    <row r="1217" spans="5:11" x14ac:dyDescent="0.2">
      <c r="E1217" s="93"/>
      <c r="K1217" s="93"/>
    </row>
    <row r="1218" spans="5:11" x14ac:dyDescent="0.2">
      <c r="E1218" s="93"/>
      <c r="K1218" s="93"/>
    </row>
    <row r="1219" spans="5:11" x14ac:dyDescent="0.2">
      <c r="E1219" s="93"/>
      <c r="K1219" s="93"/>
    </row>
    <row r="1220" spans="5:11" x14ac:dyDescent="0.2">
      <c r="E1220" s="93"/>
      <c r="K1220" s="93"/>
    </row>
    <row r="1221" spans="5:11" x14ac:dyDescent="0.2">
      <c r="E1221" s="93"/>
      <c r="K1221" s="93"/>
    </row>
    <row r="1222" spans="5:11" x14ac:dyDescent="0.2">
      <c r="K1222" s="93"/>
    </row>
    <row r="1223" spans="5:11" x14ac:dyDescent="0.2">
      <c r="E1223" s="93"/>
      <c r="K1223" s="93"/>
    </row>
    <row r="1224" spans="5:11" x14ac:dyDescent="0.2">
      <c r="E1224" s="93"/>
      <c r="K1224" s="93"/>
    </row>
    <row r="1225" spans="5:11" x14ac:dyDescent="0.2">
      <c r="E1225" s="93"/>
      <c r="K1225" s="93"/>
    </row>
    <row r="1226" spans="5:11" x14ac:dyDescent="0.2">
      <c r="E1226" s="93"/>
      <c r="K1226" s="93"/>
    </row>
    <row r="1227" spans="5:11" x14ac:dyDescent="0.2">
      <c r="K1227" s="93"/>
    </row>
    <row r="1228" spans="5:11" x14ac:dyDescent="0.2">
      <c r="E1228" s="93"/>
      <c r="K1228" s="93"/>
    </row>
    <row r="1229" spans="5:11" x14ac:dyDescent="0.2">
      <c r="K1229" s="93"/>
    </row>
    <row r="1230" spans="5:11" x14ac:dyDescent="0.2">
      <c r="E1230" s="93"/>
      <c r="K1230" s="93"/>
    </row>
    <row r="1231" spans="5:11" x14ac:dyDescent="0.2">
      <c r="E1231" s="93"/>
      <c r="K1231" s="93"/>
    </row>
    <row r="1232" spans="5:11" x14ac:dyDescent="0.2">
      <c r="K1232" s="93"/>
    </row>
    <row r="1233" spans="5:11" x14ac:dyDescent="0.2">
      <c r="K1233" s="93"/>
    </row>
    <row r="1234" spans="5:11" x14ac:dyDescent="0.2">
      <c r="E1234" s="93"/>
      <c r="K1234" s="93"/>
    </row>
    <row r="1235" spans="5:11" x14ac:dyDescent="0.2">
      <c r="E1235" s="93"/>
      <c r="K1235" s="93"/>
    </row>
    <row r="1236" spans="5:11" x14ac:dyDescent="0.2">
      <c r="K1236" s="93"/>
    </row>
    <row r="1237" spans="5:11" x14ac:dyDescent="0.2">
      <c r="K1237" s="93"/>
    </row>
    <row r="1238" spans="5:11" x14ac:dyDescent="0.2">
      <c r="K1238" s="93"/>
    </row>
    <row r="1239" spans="5:11" x14ac:dyDescent="0.2">
      <c r="K1239" s="93"/>
    </row>
    <row r="1240" spans="5:11" x14ac:dyDescent="0.2">
      <c r="E1240" s="93"/>
      <c r="K1240" s="93"/>
    </row>
    <row r="1241" spans="5:11" x14ac:dyDescent="0.2">
      <c r="K1241" s="93"/>
    </row>
    <row r="1242" spans="5:11" x14ac:dyDescent="0.2">
      <c r="K1242" s="93"/>
    </row>
    <row r="1243" spans="5:11" x14ac:dyDescent="0.2">
      <c r="E1243" s="93"/>
      <c r="K1243" s="93"/>
    </row>
    <row r="1244" spans="5:11" x14ac:dyDescent="0.2">
      <c r="E1244" s="93"/>
      <c r="K1244" s="93"/>
    </row>
    <row r="1245" spans="5:11" x14ac:dyDescent="0.2">
      <c r="K1245" s="93"/>
    </row>
    <row r="1246" spans="5:11" x14ac:dyDescent="0.2">
      <c r="K1246" s="93"/>
    </row>
    <row r="1247" spans="5:11" x14ac:dyDescent="0.2">
      <c r="K1247" s="93"/>
    </row>
    <row r="1248" spans="5:11" x14ac:dyDescent="0.2">
      <c r="E1248" s="93"/>
      <c r="K1248" s="93"/>
    </row>
    <row r="1249" spans="5:11" x14ac:dyDescent="0.2">
      <c r="E1249" s="93"/>
      <c r="K1249" s="93"/>
    </row>
    <row r="1250" spans="5:11" x14ac:dyDescent="0.2">
      <c r="E1250" s="93"/>
      <c r="K1250" s="93"/>
    </row>
    <row r="1251" spans="5:11" x14ac:dyDescent="0.2">
      <c r="K1251" s="93"/>
    </row>
    <row r="1252" spans="5:11" x14ac:dyDescent="0.2">
      <c r="K1252" s="93"/>
    </row>
    <row r="1253" spans="5:11" x14ac:dyDescent="0.2">
      <c r="E1253" s="93"/>
      <c r="K1253" s="93"/>
    </row>
    <row r="1254" spans="5:11" x14ac:dyDescent="0.2">
      <c r="K1254" s="93"/>
    </row>
    <row r="1255" spans="5:11" x14ac:dyDescent="0.2">
      <c r="E1255" s="93"/>
      <c r="K1255" s="93"/>
    </row>
    <row r="1256" spans="5:11" x14ac:dyDescent="0.2">
      <c r="E1256" s="93"/>
      <c r="K1256" s="93"/>
    </row>
    <row r="1257" spans="5:11" x14ac:dyDescent="0.2">
      <c r="E1257" s="93"/>
      <c r="K1257" s="93"/>
    </row>
    <row r="1258" spans="5:11" x14ac:dyDescent="0.2">
      <c r="E1258" s="93"/>
      <c r="K1258" s="93"/>
    </row>
    <row r="1259" spans="5:11" x14ac:dyDescent="0.2">
      <c r="E1259" s="93"/>
      <c r="K1259" s="93"/>
    </row>
    <row r="1260" spans="5:11" x14ac:dyDescent="0.2">
      <c r="E1260" s="93"/>
      <c r="K1260" s="93"/>
    </row>
    <row r="1261" spans="5:11" x14ac:dyDescent="0.2">
      <c r="K1261" s="93"/>
    </row>
    <row r="1262" spans="5:11" x14ac:dyDescent="0.2">
      <c r="E1262" s="93"/>
      <c r="K1262" s="93"/>
    </row>
    <row r="1263" spans="5:11" x14ac:dyDescent="0.2">
      <c r="E1263" s="93"/>
      <c r="K1263" s="93"/>
    </row>
    <row r="1264" spans="5:11" x14ac:dyDescent="0.2">
      <c r="E1264" s="93"/>
      <c r="K1264" s="93"/>
    </row>
    <row r="1265" spans="5:11" x14ac:dyDescent="0.2">
      <c r="E1265" s="93"/>
      <c r="K1265" s="93"/>
    </row>
    <row r="1266" spans="5:11" x14ac:dyDescent="0.2">
      <c r="E1266" s="93"/>
      <c r="K1266" s="93"/>
    </row>
    <row r="1267" spans="5:11" x14ac:dyDescent="0.2">
      <c r="E1267" s="93"/>
      <c r="K1267" s="93"/>
    </row>
    <row r="1268" spans="5:11" x14ac:dyDescent="0.2">
      <c r="E1268" s="93"/>
      <c r="K1268" s="93"/>
    </row>
    <row r="1269" spans="5:11" x14ac:dyDescent="0.2">
      <c r="E1269" s="93"/>
      <c r="K1269" s="93"/>
    </row>
    <row r="1270" spans="5:11" x14ac:dyDescent="0.2">
      <c r="E1270" s="93"/>
      <c r="K1270" s="93"/>
    </row>
    <row r="1271" spans="5:11" x14ac:dyDescent="0.2">
      <c r="E1271" s="93"/>
      <c r="K1271" s="93"/>
    </row>
    <row r="1272" spans="5:11" x14ac:dyDescent="0.2">
      <c r="E1272" s="93"/>
      <c r="K1272" s="93"/>
    </row>
    <row r="1273" spans="5:11" x14ac:dyDescent="0.2">
      <c r="K1273" s="93"/>
    </row>
    <row r="1274" spans="5:11" x14ac:dyDescent="0.2">
      <c r="E1274" s="93"/>
      <c r="K1274" s="93"/>
    </row>
    <row r="1275" spans="5:11" x14ac:dyDescent="0.2">
      <c r="E1275" s="93"/>
      <c r="K1275" s="93"/>
    </row>
    <row r="1276" spans="5:11" x14ac:dyDescent="0.2">
      <c r="E1276" s="93"/>
      <c r="K1276" s="93"/>
    </row>
    <row r="1277" spans="5:11" x14ac:dyDescent="0.2">
      <c r="E1277" s="93"/>
      <c r="K1277" s="93"/>
    </row>
    <row r="1278" spans="5:11" x14ac:dyDescent="0.2">
      <c r="K1278" s="93"/>
    </row>
    <row r="1279" spans="5:11" x14ac:dyDescent="0.2">
      <c r="E1279" s="93"/>
      <c r="K1279" s="93"/>
    </row>
    <row r="1280" spans="5:11" x14ac:dyDescent="0.2">
      <c r="K1280" s="93"/>
    </row>
    <row r="1281" spans="5:11" x14ac:dyDescent="0.2">
      <c r="K1281" s="93"/>
    </row>
    <row r="1282" spans="5:11" x14ac:dyDescent="0.2">
      <c r="E1282" s="93"/>
      <c r="K1282" s="93"/>
    </row>
    <row r="1283" spans="5:11" x14ac:dyDescent="0.2">
      <c r="E1283" s="93"/>
      <c r="K1283" s="93"/>
    </row>
    <row r="1284" spans="5:11" x14ac:dyDescent="0.2">
      <c r="E1284" s="93"/>
      <c r="K1284" s="93"/>
    </row>
    <row r="1285" spans="5:11" x14ac:dyDescent="0.2">
      <c r="K1285" s="93"/>
    </row>
    <row r="1286" spans="5:11" x14ac:dyDescent="0.2">
      <c r="E1286" s="93"/>
      <c r="K1286" s="93"/>
    </row>
    <row r="1287" spans="5:11" x14ac:dyDescent="0.2">
      <c r="K1287" s="93"/>
    </row>
    <row r="1288" spans="5:11" x14ac:dyDescent="0.2">
      <c r="E1288" s="93"/>
      <c r="K1288" s="93"/>
    </row>
    <row r="1289" spans="5:11" x14ac:dyDescent="0.2">
      <c r="E1289" s="93"/>
      <c r="K1289" s="93"/>
    </row>
    <row r="1290" spans="5:11" x14ac:dyDescent="0.2">
      <c r="E1290" s="93"/>
      <c r="K1290" s="93"/>
    </row>
    <row r="1291" spans="5:11" x14ac:dyDescent="0.2">
      <c r="E1291" s="93"/>
      <c r="K1291" s="93"/>
    </row>
    <row r="1292" spans="5:11" x14ac:dyDescent="0.2">
      <c r="E1292" s="93"/>
      <c r="K1292" s="93"/>
    </row>
    <row r="1293" spans="5:11" x14ac:dyDescent="0.2">
      <c r="K1293" s="93"/>
    </row>
    <row r="1294" spans="5:11" x14ac:dyDescent="0.2">
      <c r="E1294" s="93"/>
      <c r="K1294" s="93"/>
    </row>
    <row r="1295" spans="5:11" x14ac:dyDescent="0.2">
      <c r="E1295" s="93"/>
      <c r="K1295" s="93"/>
    </row>
    <row r="1296" spans="5:11" x14ac:dyDescent="0.2">
      <c r="E1296" s="93"/>
      <c r="K1296" s="93"/>
    </row>
    <row r="1297" spans="5:11" x14ac:dyDescent="0.2">
      <c r="K1297" s="93"/>
    </row>
    <row r="1298" spans="5:11" x14ac:dyDescent="0.2">
      <c r="E1298" s="93"/>
      <c r="K1298" s="93"/>
    </row>
    <row r="1299" spans="5:11" x14ac:dyDescent="0.2">
      <c r="E1299" s="93"/>
      <c r="K1299" s="93"/>
    </row>
    <row r="1300" spans="5:11" x14ac:dyDescent="0.2">
      <c r="K1300" s="93"/>
    </row>
    <row r="1301" spans="5:11" x14ac:dyDescent="0.2">
      <c r="E1301" s="93"/>
      <c r="K1301" s="93"/>
    </row>
    <row r="1302" spans="5:11" x14ac:dyDescent="0.2">
      <c r="E1302" s="93"/>
      <c r="K1302" s="93"/>
    </row>
    <row r="1303" spans="5:11" x14ac:dyDescent="0.2">
      <c r="E1303" s="93"/>
      <c r="K1303" s="93"/>
    </row>
    <row r="1304" spans="5:11" x14ac:dyDescent="0.2">
      <c r="E1304" s="93"/>
      <c r="K1304" s="93"/>
    </row>
    <row r="1305" spans="5:11" x14ac:dyDescent="0.2">
      <c r="K1305" s="93"/>
    </row>
    <row r="1306" spans="5:11" x14ac:dyDescent="0.2">
      <c r="E1306" s="93"/>
      <c r="K1306" s="93"/>
    </row>
    <row r="1307" spans="5:11" x14ac:dyDescent="0.2">
      <c r="K1307" s="93"/>
    </row>
    <row r="1308" spans="5:11" x14ac:dyDescent="0.2">
      <c r="K1308" s="93"/>
    </row>
    <row r="1309" spans="5:11" x14ac:dyDescent="0.2">
      <c r="K1309" s="93"/>
    </row>
    <row r="1310" spans="5:11" x14ac:dyDescent="0.2">
      <c r="E1310" s="93"/>
      <c r="K1310" s="93"/>
    </row>
    <row r="1311" spans="5:11" x14ac:dyDescent="0.2">
      <c r="E1311" s="93"/>
      <c r="K1311" s="93"/>
    </row>
    <row r="1312" spans="5:11" x14ac:dyDescent="0.2">
      <c r="E1312" s="93"/>
      <c r="K1312" s="93"/>
    </row>
    <row r="1313" spans="5:11" x14ac:dyDescent="0.2">
      <c r="E1313" s="93"/>
      <c r="K1313" s="93"/>
    </row>
    <row r="1314" spans="5:11" x14ac:dyDescent="0.2">
      <c r="E1314" s="93"/>
      <c r="K1314" s="93"/>
    </row>
    <row r="1315" spans="5:11" x14ac:dyDescent="0.2">
      <c r="K1315" s="93"/>
    </row>
    <row r="1316" spans="5:11" x14ac:dyDescent="0.2">
      <c r="E1316" s="93"/>
      <c r="K1316" s="93"/>
    </row>
    <row r="1317" spans="5:11" x14ac:dyDescent="0.2">
      <c r="K1317" s="93"/>
    </row>
    <row r="1318" spans="5:11" x14ac:dyDescent="0.2">
      <c r="K1318" s="93"/>
    </row>
    <row r="1319" spans="5:11" x14ac:dyDescent="0.2">
      <c r="K1319" s="93"/>
    </row>
    <row r="1320" spans="5:11" x14ac:dyDescent="0.2">
      <c r="E1320" s="93"/>
      <c r="K1320" s="93"/>
    </row>
    <row r="1321" spans="5:11" x14ac:dyDescent="0.2">
      <c r="E1321" s="93"/>
      <c r="K1321" s="93"/>
    </row>
    <row r="1322" spans="5:11" x14ac:dyDescent="0.2">
      <c r="E1322" s="93"/>
      <c r="K1322" s="93"/>
    </row>
    <row r="1323" spans="5:11" x14ac:dyDescent="0.2">
      <c r="E1323" s="93"/>
      <c r="K1323" s="93"/>
    </row>
    <row r="1324" spans="5:11" x14ac:dyDescent="0.2">
      <c r="E1324" s="93"/>
      <c r="K1324" s="93"/>
    </row>
    <row r="1325" spans="5:11" x14ac:dyDescent="0.2">
      <c r="E1325" s="93"/>
      <c r="K1325" s="93"/>
    </row>
    <row r="1326" spans="5:11" x14ac:dyDescent="0.2">
      <c r="E1326" s="93"/>
      <c r="K1326" s="93"/>
    </row>
    <row r="1327" spans="5:11" x14ac:dyDescent="0.2">
      <c r="E1327" s="93"/>
      <c r="K1327" s="93"/>
    </row>
    <row r="1328" spans="5:11" x14ac:dyDescent="0.2">
      <c r="E1328" s="93"/>
      <c r="K1328" s="93"/>
    </row>
    <row r="1329" spans="5:11" x14ac:dyDescent="0.2">
      <c r="E1329" s="93"/>
      <c r="K1329" s="93"/>
    </row>
    <row r="1330" spans="5:11" x14ac:dyDescent="0.2">
      <c r="K1330" s="93"/>
    </row>
    <row r="1331" spans="5:11" x14ac:dyDescent="0.2">
      <c r="K1331" s="93"/>
    </row>
    <row r="1332" spans="5:11" x14ac:dyDescent="0.2">
      <c r="E1332" s="93"/>
      <c r="K1332" s="93"/>
    </row>
    <row r="1333" spans="5:11" x14ac:dyDescent="0.2">
      <c r="E1333" s="93"/>
      <c r="K1333" s="93"/>
    </row>
    <row r="1334" spans="5:11" x14ac:dyDescent="0.2">
      <c r="K1334" s="93"/>
    </row>
    <row r="1335" spans="5:11" x14ac:dyDescent="0.2">
      <c r="E1335" s="93"/>
      <c r="K1335" s="93"/>
    </row>
    <row r="1336" spans="5:11" x14ac:dyDescent="0.2">
      <c r="E1336" s="93"/>
      <c r="K1336" s="93"/>
    </row>
    <row r="1337" spans="5:11" x14ac:dyDescent="0.2">
      <c r="E1337" s="93"/>
      <c r="K1337" s="93"/>
    </row>
    <row r="1338" spans="5:11" x14ac:dyDescent="0.2">
      <c r="K1338" s="93"/>
    </row>
    <row r="1339" spans="5:11" x14ac:dyDescent="0.2">
      <c r="K1339" s="93"/>
    </row>
    <row r="1340" spans="5:11" x14ac:dyDescent="0.2">
      <c r="E1340" s="93"/>
      <c r="K1340" s="93"/>
    </row>
    <row r="1341" spans="5:11" x14ac:dyDescent="0.2">
      <c r="E1341" s="93"/>
      <c r="K1341" s="93"/>
    </row>
    <row r="1342" spans="5:11" x14ac:dyDescent="0.2">
      <c r="E1342" s="93"/>
      <c r="K1342" s="93"/>
    </row>
    <row r="1343" spans="5:11" x14ac:dyDescent="0.2">
      <c r="K1343" s="93"/>
    </row>
    <row r="1344" spans="5:11" x14ac:dyDescent="0.2">
      <c r="K1344" s="93"/>
    </row>
    <row r="1345" spans="5:11" x14ac:dyDescent="0.2">
      <c r="K1345" s="93"/>
    </row>
    <row r="1346" spans="5:11" x14ac:dyDescent="0.2">
      <c r="E1346" s="93"/>
      <c r="K1346" s="93"/>
    </row>
    <row r="1347" spans="5:11" x14ac:dyDescent="0.2">
      <c r="E1347" s="93"/>
      <c r="K1347" s="93"/>
    </row>
    <row r="1348" spans="5:11" x14ac:dyDescent="0.2">
      <c r="K1348" s="93"/>
    </row>
    <row r="1349" spans="5:11" x14ac:dyDescent="0.2">
      <c r="E1349" s="93"/>
      <c r="K1349" s="93"/>
    </row>
    <row r="1350" spans="5:11" x14ac:dyDescent="0.2">
      <c r="K1350" s="93"/>
    </row>
    <row r="1351" spans="5:11" x14ac:dyDescent="0.2">
      <c r="K1351" s="93"/>
    </row>
    <row r="1352" spans="5:11" x14ac:dyDescent="0.2">
      <c r="E1352" s="93"/>
      <c r="K1352" s="93"/>
    </row>
    <row r="1353" spans="5:11" x14ac:dyDescent="0.2">
      <c r="K1353" s="93"/>
    </row>
    <row r="1354" spans="5:11" x14ac:dyDescent="0.2">
      <c r="E1354" s="93"/>
      <c r="K1354" s="93"/>
    </row>
    <row r="1355" spans="5:11" x14ac:dyDescent="0.2">
      <c r="E1355" s="93"/>
      <c r="K1355" s="93"/>
    </row>
    <row r="1356" spans="5:11" x14ac:dyDescent="0.2">
      <c r="K1356" s="93"/>
    </row>
    <row r="1357" spans="5:11" x14ac:dyDescent="0.2">
      <c r="E1357" s="93"/>
      <c r="K1357" s="93"/>
    </row>
    <row r="1358" spans="5:11" x14ac:dyDescent="0.2">
      <c r="E1358" s="93"/>
      <c r="K1358" s="93"/>
    </row>
    <row r="1359" spans="5:11" x14ac:dyDescent="0.2">
      <c r="E1359" s="93"/>
      <c r="K1359" s="93"/>
    </row>
    <row r="1360" spans="5:11" x14ac:dyDescent="0.2">
      <c r="E1360" s="93"/>
      <c r="K1360" s="93"/>
    </row>
    <row r="1361" spans="5:11" x14ac:dyDescent="0.2">
      <c r="K1361" s="93"/>
    </row>
    <row r="1362" spans="5:11" x14ac:dyDescent="0.2">
      <c r="K1362" s="93"/>
    </row>
    <row r="1363" spans="5:11" x14ac:dyDescent="0.2">
      <c r="E1363" s="93"/>
      <c r="K1363" s="93"/>
    </row>
    <row r="1364" spans="5:11" x14ac:dyDescent="0.2">
      <c r="K1364" s="93"/>
    </row>
    <row r="1365" spans="5:11" x14ac:dyDescent="0.2">
      <c r="K1365" s="93"/>
    </row>
    <row r="1366" spans="5:11" x14ac:dyDescent="0.2">
      <c r="E1366" s="93"/>
      <c r="K1366" s="93"/>
    </row>
    <row r="1367" spans="5:11" x14ac:dyDescent="0.2">
      <c r="E1367" s="93"/>
      <c r="K1367" s="93"/>
    </row>
    <row r="1368" spans="5:11" x14ac:dyDescent="0.2">
      <c r="E1368" s="93"/>
      <c r="K1368" s="93"/>
    </row>
    <row r="1369" spans="5:11" x14ac:dyDescent="0.2">
      <c r="E1369" s="93"/>
      <c r="K1369" s="93"/>
    </row>
    <row r="1370" spans="5:11" x14ac:dyDescent="0.2">
      <c r="K1370" s="93"/>
    </row>
    <row r="1371" spans="5:11" x14ac:dyDescent="0.2">
      <c r="E1371" s="93"/>
      <c r="K1371" s="93"/>
    </row>
    <row r="1372" spans="5:11" x14ac:dyDescent="0.2">
      <c r="E1372" s="93"/>
      <c r="K1372" s="93"/>
    </row>
    <row r="1373" spans="5:11" x14ac:dyDescent="0.2">
      <c r="E1373" s="93"/>
      <c r="K1373" s="93"/>
    </row>
    <row r="1374" spans="5:11" x14ac:dyDescent="0.2">
      <c r="E1374" s="93"/>
      <c r="K1374" s="93"/>
    </row>
    <row r="1375" spans="5:11" x14ac:dyDescent="0.2">
      <c r="K1375" s="93"/>
    </row>
    <row r="1376" spans="5:11" x14ac:dyDescent="0.2">
      <c r="E1376" s="93"/>
      <c r="K1376" s="93"/>
    </row>
    <row r="1377" spans="5:11" x14ac:dyDescent="0.2">
      <c r="K1377" s="93"/>
    </row>
    <row r="1378" spans="5:11" x14ac:dyDescent="0.2">
      <c r="E1378" s="93"/>
      <c r="K1378" s="93"/>
    </row>
    <row r="1379" spans="5:11" x14ac:dyDescent="0.2">
      <c r="E1379" s="93"/>
      <c r="K1379" s="93"/>
    </row>
    <row r="1380" spans="5:11" x14ac:dyDescent="0.2">
      <c r="E1380" s="93"/>
      <c r="K1380" s="93"/>
    </row>
    <row r="1381" spans="5:11" x14ac:dyDescent="0.2">
      <c r="E1381" s="93"/>
      <c r="K1381" s="93"/>
    </row>
    <row r="1382" spans="5:11" x14ac:dyDescent="0.2">
      <c r="E1382" s="93"/>
      <c r="K1382" s="93"/>
    </row>
    <row r="1383" spans="5:11" x14ac:dyDescent="0.2">
      <c r="E1383" s="93"/>
      <c r="K1383" s="93"/>
    </row>
    <row r="1384" spans="5:11" x14ac:dyDescent="0.2">
      <c r="E1384" s="93"/>
      <c r="K1384" s="93"/>
    </row>
    <row r="1385" spans="5:11" x14ac:dyDescent="0.2">
      <c r="E1385" s="93"/>
      <c r="K1385" s="93"/>
    </row>
    <row r="1386" spans="5:11" x14ac:dyDescent="0.2">
      <c r="K1386" s="93"/>
    </row>
    <row r="1387" spans="5:11" x14ac:dyDescent="0.2">
      <c r="E1387" s="93"/>
      <c r="K1387" s="93"/>
    </row>
    <row r="1388" spans="5:11" x14ac:dyDescent="0.2">
      <c r="E1388" s="93"/>
      <c r="K1388" s="93"/>
    </row>
    <row r="1389" spans="5:11" x14ac:dyDescent="0.2">
      <c r="E1389" s="93"/>
      <c r="K1389" s="93"/>
    </row>
    <row r="1390" spans="5:11" x14ac:dyDescent="0.2">
      <c r="K1390" s="93"/>
    </row>
    <row r="1391" spans="5:11" x14ac:dyDescent="0.2">
      <c r="E1391" s="93"/>
      <c r="K1391" s="93"/>
    </row>
    <row r="1392" spans="5:11" x14ac:dyDescent="0.2">
      <c r="K1392" s="93"/>
    </row>
    <row r="1393" spans="5:11" x14ac:dyDescent="0.2">
      <c r="E1393" s="93"/>
      <c r="K1393" s="93"/>
    </row>
    <row r="1394" spans="5:11" x14ac:dyDescent="0.2">
      <c r="E1394" s="93"/>
      <c r="K1394" s="93"/>
    </row>
    <row r="1395" spans="5:11" x14ac:dyDescent="0.2">
      <c r="E1395" s="93"/>
      <c r="K1395" s="93"/>
    </row>
    <row r="1396" spans="5:11" x14ac:dyDescent="0.2">
      <c r="K1396" s="93"/>
    </row>
    <row r="1397" spans="5:11" x14ac:dyDescent="0.2">
      <c r="E1397" s="93"/>
      <c r="K1397" s="93"/>
    </row>
    <row r="1398" spans="5:11" x14ac:dyDescent="0.2">
      <c r="E1398" s="93"/>
      <c r="K1398" s="93"/>
    </row>
    <row r="1399" spans="5:11" x14ac:dyDescent="0.2">
      <c r="E1399" s="93"/>
      <c r="K1399" s="93"/>
    </row>
    <row r="1400" spans="5:11" x14ac:dyDescent="0.2">
      <c r="K1400" s="93"/>
    </row>
    <row r="1401" spans="5:11" x14ac:dyDescent="0.2">
      <c r="E1401" s="93"/>
      <c r="K1401" s="93"/>
    </row>
    <row r="1402" spans="5:11" x14ac:dyDescent="0.2">
      <c r="K1402" s="93"/>
    </row>
    <row r="1403" spans="5:11" x14ac:dyDescent="0.2">
      <c r="K1403" s="93"/>
    </row>
    <row r="1404" spans="5:11" x14ac:dyDescent="0.2">
      <c r="K1404" s="93"/>
    </row>
    <row r="1405" spans="5:11" x14ac:dyDescent="0.2">
      <c r="E1405" s="93"/>
      <c r="K1405" s="93"/>
    </row>
    <row r="1406" spans="5:11" x14ac:dyDescent="0.2">
      <c r="E1406" s="93"/>
      <c r="K1406" s="93"/>
    </row>
    <row r="1407" spans="5:11" x14ac:dyDescent="0.2">
      <c r="E1407" s="93"/>
      <c r="K1407" s="93"/>
    </row>
    <row r="1408" spans="5:11" x14ac:dyDescent="0.2">
      <c r="K1408" s="93"/>
    </row>
    <row r="1409" spans="5:11" x14ac:dyDescent="0.2">
      <c r="E1409" s="93"/>
      <c r="K1409" s="93"/>
    </row>
    <row r="1410" spans="5:11" x14ac:dyDescent="0.2">
      <c r="E1410" s="93"/>
      <c r="K1410" s="93"/>
    </row>
    <row r="1411" spans="5:11" x14ac:dyDescent="0.2">
      <c r="E1411" s="93"/>
      <c r="K1411" s="93"/>
    </row>
    <row r="1412" spans="5:11" x14ac:dyDescent="0.2">
      <c r="E1412" s="93"/>
      <c r="K1412" s="93"/>
    </row>
    <row r="1413" spans="5:11" x14ac:dyDescent="0.2">
      <c r="K1413" s="93"/>
    </row>
    <row r="1414" spans="5:11" x14ac:dyDescent="0.2">
      <c r="E1414" s="93"/>
      <c r="K1414" s="93"/>
    </row>
    <row r="1415" spans="5:11" x14ac:dyDescent="0.2">
      <c r="E1415" s="93"/>
      <c r="K1415" s="93"/>
    </row>
    <row r="1416" spans="5:11" x14ac:dyDescent="0.2">
      <c r="E1416" s="93"/>
      <c r="K1416" s="93"/>
    </row>
    <row r="1417" spans="5:11" x14ac:dyDescent="0.2">
      <c r="K1417" s="93"/>
    </row>
    <row r="1418" spans="5:11" x14ac:dyDescent="0.2">
      <c r="E1418" s="93"/>
      <c r="K1418" s="93"/>
    </row>
    <row r="1419" spans="5:11" x14ac:dyDescent="0.2">
      <c r="E1419" s="93"/>
      <c r="K1419" s="93"/>
    </row>
    <row r="1420" spans="5:11" x14ac:dyDescent="0.2">
      <c r="E1420" s="93"/>
      <c r="K1420" s="93"/>
    </row>
    <row r="1421" spans="5:11" x14ac:dyDescent="0.2">
      <c r="E1421" s="93"/>
      <c r="K1421" s="93"/>
    </row>
    <row r="1422" spans="5:11" x14ac:dyDescent="0.2">
      <c r="E1422" s="93"/>
      <c r="K1422" s="93"/>
    </row>
    <row r="1423" spans="5:11" x14ac:dyDescent="0.2">
      <c r="E1423" s="93"/>
      <c r="K1423" s="93"/>
    </row>
    <row r="1424" spans="5:11" x14ac:dyDescent="0.2">
      <c r="E1424" s="93"/>
      <c r="K1424" s="93"/>
    </row>
    <row r="1425" spans="5:11" x14ac:dyDescent="0.2">
      <c r="E1425" s="93"/>
      <c r="K1425" s="93"/>
    </row>
    <row r="1426" spans="5:11" x14ac:dyDescent="0.2">
      <c r="E1426" s="93"/>
      <c r="K1426" s="93"/>
    </row>
    <row r="1427" spans="5:11" x14ac:dyDescent="0.2">
      <c r="E1427" s="93"/>
      <c r="K1427" s="93"/>
    </row>
    <row r="1428" spans="5:11" x14ac:dyDescent="0.2">
      <c r="E1428" s="93"/>
      <c r="K1428" s="93"/>
    </row>
    <row r="1429" spans="5:11" x14ac:dyDescent="0.2">
      <c r="E1429" s="93"/>
      <c r="K1429" s="93"/>
    </row>
    <row r="1430" spans="5:11" x14ac:dyDescent="0.2">
      <c r="K1430" s="93"/>
    </row>
    <row r="1431" spans="5:11" x14ac:dyDescent="0.2">
      <c r="K1431" s="93"/>
    </row>
    <row r="1432" spans="5:11" x14ac:dyDescent="0.2">
      <c r="E1432" s="93"/>
      <c r="K1432" s="93"/>
    </row>
    <row r="1433" spans="5:11" x14ac:dyDescent="0.2">
      <c r="E1433" s="93"/>
      <c r="K1433" s="93"/>
    </row>
    <row r="1434" spans="5:11" x14ac:dyDescent="0.2">
      <c r="E1434" s="93"/>
      <c r="K1434" s="93"/>
    </row>
    <row r="1435" spans="5:11" x14ac:dyDescent="0.2">
      <c r="E1435" s="93"/>
      <c r="K1435" s="93"/>
    </row>
    <row r="1436" spans="5:11" x14ac:dyDescent="0.2">
      <c r="E1436" s="93"/>
      <c r="K1436" s="93"/>
    </row>
    <row r="1437" spans="5:11" x14ac:dyDescent="0.2">
      <c r="E1437" s="93"/>
      <c r="K1437" s="93"/>
    </row>
    <row r="1438" spans="5:11" x14ac:dyDescent="0.2">
      <c r="E1438" s="93"/>
      <c r="K1438" s="93"/>
    </row>
    <row r="1439" spans="5:11" x14ac:dyDescent="0.2">
      <c r="K1439" s="93"/>
    </row>
    <row r="1440" spans="5:11" x14ac:dyDescent="0.2">
      <c r="K1440" s="93"/>
    </row>
    <row r="1441" spans="5:11" x14ac:dyDescent="0.2">
      <c r="E1441" s="93"/>
      <c r="K1441" s="93"/>
    </row>
    <row r="1442" spans="5:11" x14ac:dyDescent="0.2">
      <c r="E1442" s="93"/>
      <c r="K1442" s="93"/>
    </row>
    <row r="1443" spans="5:11" x14ac:dyDescent="0.2">
      <c r="E1443" s="93"/>
      <c r="K1443" s="93"/>
    </row>
    <row r="1444" spans="5:11" x14ac:dyDescent="0.2">
      <c r="E1444" s="93"/>
      <c r="K1444" s="93"/>
    </row>
    <row r="1445" spans="5:11" x14ac:dyDescent="0.2">
      <c r="E1445" s="93"/>
      <c r="K1445" s="93"/>
    </row>
    <row r="1446" spans="5:11" x14ac:dyDescent="0.2">
      <c r="E1446" s="93"/>
      <c r="K1446" s="93"/>
    </row>
    <row r="1447" spans="5:11" x14ac:dyDescent="0.2">
      <c r="K1447" s="93"/>
    </row>
    <row r="1448" spans="5:11" x14ac:dyDescent="0.2">
      <c r="E1448" s="93"/>
      <c r="K1448" s="93"/>
    </row>
    <row r="1449" spans="5:11" x14ac:dyDescent="0.2">
      <c r="K1449" s="93"/>
    </row>
    <row r="1450" spans="5:11" x14ac:dyDescent="0.2">
      <c r="E1450" s="93"/>
      <c r="K1450" s="93"/>
    </row>
    <row r="1451" spans="5:11" x14ac:dyDescent="0.2">
      <c r="E1451" s="93"/>
      <c r="K1451" s="93"/>
    </row>
    <row r="1452" spans="5:11" x14ac:dyDescent="0.2">
      <c r="E1452" s="93"/>
      <c r="K1452" s="93"/>
    </row>
    <row r="1453" spans="5:11" x14ac:dyDescent="0.2">
      <c r="E1453" s="93"/>
      <c r="K1453" s="93"/>
    </row>
    <row r="1454" spans="5:11" x14ac:dyDescent="0.2">
      <c r="E1454" s="93"/>
      <c r="K1454" s="93"/>
    </row>
    <row r="1455" spans="5:11" x14ac:dyDescent="0.2">
      <c r="E1455" s="93"/>
      <c r="K1455" s="93"/>
    </row>
    <row r="1456" spans="5:11" x14ac:dyDescent="0.2">
      <c r="K1456" s="93"/>
    </row>
    <row r="1457" spans="5:11" x14ac:dyDescent="0.2">
      <c r="E1457" s="93"/>
      <c r="K1457" s="93"/>
    </row>
    <row r="1458" spans="5:11" x14ac:dyDescent="0.2">
      <c r="E1458" s="93"/>
      <c r="K1458" s="93"/>
    </row>
    <row r="1459" spans="5:11" x14ac:dyDescent="0.2">
      <c r="E1459" s="93"/>
      <c r="K1459" s="93"/>
    </row>
    <row r="1460" spans="5:11" x14ac:dyDescent="0.2">
      <c r="E1460" s="93"/>
      <c r="K1460" s="93"/>
    </row>
    <row r="1461" spans="5:11" x14ac:dyDescent="0.2">
      <c r="E1461" s="93"/>
      <c r="K1461" s="93"/>
    </row>
    <row r="1462" spans="5:11" x14ac:dyDescent="0.2">
      <c r="E1462" s="93"/>
      <c r="K1462" s="93"/>
    </row>
    <row r="1463" spans="5:11" x14ac:dyDescent="0.2">
      <c r="E1463" s="93"/>
      <c r="K1463" s="93"/>
    </row>
    <row r="1464" spans="5:11" x14ac:dyDescent="0.2">
      <c r="K1464" s="93"/>
    </row>
    <row r="1465" spans="5:11" x14ac:dyDescent="0.2">
      <c r="K1465" s="93"/>
    </row>
    <row r="1466" spans="5:11" x14ac:dyDescent="0.2">
      <c r="E1466" s="93"/>
      <c r="K1466" s="93"/>
    </row>
    <row r="1467" spans="5:11" x14ac:dyDescent="0.2">
      <c r="E1467" s="93"/>
      <c r="K1467" s="93"/>
    </row>
    <row r="1468" spans="5:11" x14ac:dyDescent="0.2">
      <c r="K1468" s="93"/>
    </row>
    <row r="1469" spans="5:11" x14ac:dyDescent="0.2">
      <c r="E1469" s="93"/>
      <c r="K1469" s="93"/>
    </row>
    <row r="1470" spans="5:11" x14ac:dyDescent="0.2">
      <c r="K1470" s="93"/>
    </row>
    <row r="1471" spans="5:11" x14ac:dyDescent="0.2">
      <c r="E1471" s="93"/>
      <c r="K1471" s="93"/>
    </row>
    <row r="1472" spans="5:11" x14ac:dyDescent="0.2">
      <c r="E1472" s="93"/>
      <c r="K1472" s="93"/>
    </row>
    <row r="1473" spans="5:11" x14ac:dyDescent="0.2">
      <c r="E1473" s="93"/>
      <c r="K1473" s="93"/>
    </row>
    <row r="1474" spans="5:11" x14ac:dyDescent="0.2">
      <c r="E1474" s="93"/>
      <c r="K1474" s="93"/>
    </row>
    <row r="1475" spans="5:11" x14ac:dyDescent="0.2">
      <c r="E1475" s="93"/>
      <c r="K1475" s="93"/>
    </row>
    <row r="1476" spans="5:11" x14ac:dyDescent="0.2">
      <c r="E1476" s="93"/>
      <c r="K1476" s="93"/>
    </row>
    <row r="1477" spans="5:11" x14ac:dyDescent="0.2">
      <c r="E1477" s="93"/>
      <c r="K1477" s="93"/>
    </row>
    <row r="1478" spans="5:11" x14ac:dyDescent="0.2">
      <c r="E1478" s="93"/>
      <c r="K1478" s="93"/>
    </row>
    <row r="1479" spans="5:11" x14ac:dyDescent="0.2">
      <c r="E1479" s="93"/>
      <c r="K1479" s="93"/>
    </row>
    <row r="1480" spans="5:11" x14ac:dyDescent="0.2">
      <c r="E1480" s="93"/>
      <c r="K1480" s="93"/>
    </row>
    <row r="1481" spans="5:11" x14ac:dyDescent="0.2">
      <c r="E1481" s="93"/>
      <c r="K1481" s="93"/>
    </row>
    <row r="1482" spans="5:11" x14ac:dyDescent="0.2">
      <c r="E1482" s="93"/>
      <c r="K1482" s="93"/>
    </row>
    <row r="1483" spans="5:11" x14ac:dyDescent="0.2">
      <c r="E1483" s="93"/>
      <c r="K1483" s="93"/>
    </row>
    <row r="1484" spans="5:11" x14ac:dyDescent="0.2">
      <c r="E1484" s="93"/>
      <c r="K1484" s="93"/>
    </row>
    <row r="1485" spans="5:11" x14ac:dyDescent="0.2">
      <c r="E1485" s="93"/>
      <c r="K1485" s="93"/>
    </row>
    <row r="1486" spans="5:11" x14ac:dyDescent="0.2">
      <c r="K1486" s="93"/>
    </row>
    <row r="1487" spans="5:11" x14ac:dyDescent="0.2">
      <c r="E1487" s="93"/>
      <c r="K1487" s="93"/>
    </row>
    <row r="1488" spans="5:11" x14ac:dyDescent="0.2">
      <c r="E1488" s="93"/>
      <c r="K1488" s="93"/>
    </row>
    <row r="1489" spans="5:11" x14ac:dyDescent="0.2">
      <c r="K1489" s="93"/>
    </row>
    <row r="1490" spans="5:11" x14ac:dyDescent="0.2">
      <c r="K1490" s="93"/>
    </row>
    <row r="1491" spans="5:11" x14ac:dyDescent="0.2">
      <c r="E1491" s="93"/>
      <c r="K1491" s="93"/>
    </row>
    <row r="1492" spans="5:11" x14ac:dyDescent="0.2">
      <c r="K1492" s="93"/>
    </row>
    <row r="1493" spans="5:11" x14ac:dyDescent="0.2">
      <c r="K1493" s="93"/>
    </row>
    <row r="1494" spans="5:11" x14ac:dyDescent="0.2">
      <c r="E1494" s="93"/>
      <c r="K1494" s="93"/>
    </row>
    <row r="1495" spans="5:11" x14ac:dyDescent="0.2">
      <c r="E1495" s="93"/>
      <c r="K1495" s="93"/>
    </row>
    <row r="1496" spans="5:11" x14ac:dyDescent="0.2">
      <c r="E1496" s="93"/>
      <c r="K1496" s="93"/>
    </row>
    <row r="1497" spans="5:11" x14ac:dyDescent="0.2">
      <c r="E1497" s="93"/>
      <c r="K1497" s="93"/>
    </row>
    <row r="1498" spans="5:11" x14ac:dyDescent="0.2">
      <c r="E1498" s="93"/>
      <c r="K1498" s="93"/>
    </row>
    <row r="1499" spans="5:11" x14ac:dyDescent="0.2">
      <c r="E1499" s="93"/>
      <c r="K1499" s="93"/>
    </row>
    <row r="1500" spans="5:11" x14ac:dyDescent="0.2">
      <c r="K1500" s="93"/>
    </row>
    <row r="1501" spans="5:11" x14ac:dyDescent="0.2">
      <c r="E1501" s="93"/>
      <c r="K1501" s="93"/>
    </row>
    <row r="1502" spans="5:11" x14ac:dyDescent="0.2">
      <c r="K1502" s="93"/>
    </row>
    <row r="1503" spans="5:11" x14ac:dyDescent="0.2">
      <c r="E1503" s="93"/>
      <c r="K1503" s="93"/>
    </row>
    <row r="1504" spans="5:11" x14ac:dyDescent="0.2">
      <c r="E1504" s="93"/>
      <c r="K1504" s="93"/>
    </row>
    <row r="1505" spans="5:11" x14ac:dyDescent="0.2">
      <c r="E1505" s="93"/>
      <c r="K1505" s="93"/>
    </row>
    <row r="1506" spans="5:11" x14ac:dyDescent="0.2">
      <c r="E1506" s="93"/>
      <c r="K1506" s="93"/>
    </row>
    <row r="1507" spans="5:11" x14ac:dyDescent="0.2">
      <c r="K1507" s="93"/>
    </row>
    <row r="1508" spans="5:11" x14ac:dyDescent="0.2">
      <c r="E1508" s="93"/>
      <c r="K1508" s="93"/>
    </row>
    <row r="1509" spans="5:11" x14ac:dyDescent="0.2">
      <c r="K1509" s="93"/>
    </row>
    <row r="1510" spans="5:11" x14ac:dyDescent="0.2">
      <c r="E1510" s="93"/>
      <c r="K1510" s="93"/>
    </row>
    <row r="1511" spans="5:11" x14ac:dyDescent="0.2">
      <c r="E1511" s="93"/>
      <c r="K1511" s="93"/>
    </row>
    <row r="1512" spans="5:11" x14ac:dyDescent="0.2">
      <c r="K1512" s="93"/>
    </row>
    <row r="1513" spans="5:11" x14ac:dyDescent="0.2">
      <c r="K1513" s="93"/>
    </row>
    <row r="1514" spans="5:11" x14ac:dyDescent="0.2">
      <c r="K1514" s="93"/>
    </row>
    <row r="1515" spans="5:11" x14ac:dyDescent="0.2">
      <c r="E1515" s="93"/>
      <c r="K1515" s="93"/>
    </row>
    <row r="1516" spans="5:11" x14ac:dyDescent="0.2">
      <c r="E1516" s="93"/>
      <c r="K1516" s="93"/>
    </row>
    <row r="1517" spans="5:11" x14ac:dyDescent="0.2">
      <c r="E1517" s="93"/>
      <c r="K1517" s="93"/>
    </row>
    <row r="1518" spans="5:11" x14ac:dyDescent="0.2">
      <c r="E1518" s="93"/>
      <c r="K1518" s="93"/>
    </row>
    <row r="1519" spans="5:11" x14ac:dyDescent="0.2">
      <c r="E1519" s="93"/>
      <c r="K1519" s="93"/>
    </row>
    <row r="1520" spans="5:11" x14ac:dyDescent="0.2">
      <c r="E1520" s="93"/>
      <c r="K1520" s="93"/>
    </row>
    <row r="1521" spans="5:11" x14ac:dyDescent="0.2">
      <c r="E1521" s="93"/>
      <c r="K1521" s="93"/>
    </row>
    <row r="1522" spans="5:11" x14ac:dyDescent="0.2">
      <c r="E1522" s="93"/>
      <c r="K1522" s="93"/>
    </row>
    <row r="1523" spans="5:11" x14ac:dyDescent="0.2">
      <c r="K1523" s="93"/>
    </row>
    <row r="1524" spans="5:11" x14ac:dyDescent="0.2">
      <c r="E1524" s="93"/>
      <c r="K1524" s="93"/>
    </row>
    <row r="1525" spans="5:11" x14ac:dyDescent="0.2">
      <c r="E1525" s="93"/>
      <c r="K1525" s="93"/>
    </row>
    <row r="1526" spans="5:11" x14ac:dyDescent="0.2">
      <c r="K1526" s="93"/>
    </row>
    <row r="1527" spans="5:11" x14ac:dyDescent="0.2">
      <c r="E1527" s="93"/>
      <c r="K1527" s="93"/>
    </row>
    <row r="1528" spans="5:11" x14ac:dyDescent="0.2">
      <c r="E1528" s="93"/>
      <c r="K1528" s="93"/>
    </row>
    <row r="1529" spans="5:11" x14ac:dyDescent="0.2">
      <c r="E1529" s="93"/>
      <c r="K1529" s="93"/>
    </row>
    <row r="1530" spans="5:11" x14ac:dyDescent="0.2">
      <c r="E1530" s="93"/>
      <c r="K1530" s="93"/>
    </row>
    <row r="1531" spans="5:11" x14ac:dyDescent="0.2">
      <c r="E1531" s="93"/>
      <c r="K1531" s="93"/>
    </row>
    <row r="1532" spans="5:11" x14ac:dyDescent="0.2">
      <c r="E1532" s="93"/>
      <c r="K1532" s="93"/>
    </row>
    <row r="1533" spans="5:11" x14ac:dyDescent="0.2">
      <c r="E1533" s="93"/>
      <c r="K1533" s="93"/>
    </row>
    <row r="1534" spans="5:11" x14ac:dyDescent="0.2">
      <c r="E1534" s="93"/>
      <c r="K1534" s="93"/>
    </row>
    <row r="1535" spans="5:11" x14ac:dyDescent="0.2">
      <c r="K1535" s="93"/>
    </row>
    <row r="1536" spans="5:11" x14ac:dyDescent="0.2">
      <c r="K1536" s="93"/>
    </row>
    <row r="1537" spans="5:11" x14ac:dyDescent="0.2">
      <c r="K1537" s="93"/>
    </row>
    <row r="1538" spans="5:11" x14ac:dyDescent="0.2">
      <c r="K1538" s="93"/>
    </row>
    <row r="1539" spans="5:11" x14ac:dyDescent="0.2">
      <c r="E1539" s="93"/>
      <c r="K1539" s="93"/>
    </row>
    <row r="1540" spans="5:11" x14ac:dyDescent="0.2">
      <c r="E1540" s="93"/>
      <c r="K1540" s="93"/>
    </row>
    <row r="1541" spans="5:11" x14ac:dyDescent="0.2">
      <c r="E1541" s="93"/>
      <c r="K1541" s="93"/>
    </row>
    <row r="1542" spans="5:11" x14ac:dyDescent="0.2">
      <c r="E1542" s="93"/>
      <c r="K1542" s="93"/>
    </row>
    <row r="1543" spans="5:11" x14ac:dyDescent="0.2">
      <c r="E1543" s="93"/>
      <c r="K1543" s="93"/>
    </row>
    <row r="1544" spans="5:11" x14ac:dyDescent="0.2">
      <c r="K1544" s="93"/>
    </row>
    <row r="1545" spans="5:11" x14ac:dyDescent="0.2">
      <c r="K1545" s="93"/>
    </row>
    <row r="1546" spans="5:11" x14ac:dyDescent="0.2">
      <c r="E1546" s="93"/>
      <c r="K1546" s="93"/>
    </row>
    <row r="1547" spans="5:11" x14ac:dyDescent="0.2">
      <c r="E1547" s="93"/>
      <c r="K1547" s="93"/>
    </row>
    <row r="1548" spans="5:11" x14ac:dyDescent="0.2">
      <c r="E1548" s="93"/>
      <c r="K1548" s="93"/>
    </row>
    <row r="1549" spans="5:11" x14ac:dyDescent="0.2">
      <c r="E1549" s="93"/>
      <c r="K1549" s="93"/>
    </row>
    <row r="1550" spans="5:11" x14ac:dyDescent="0.2">
      <c r="E1550" s="93"/>
      <c r="K1550" s="93"/>
    </row>
    <row r="1551" spans="5:11" x14ac:dyDescent="0.2">
      <c r="E1551" s="93"/>
      <c r="K1551" s="93"/>
    </row>
    <row r="1552" spans="5:11" x14ac:dyDescent="0.2">
      <c r="K1552" s="93"/>
    </row>
    <row r="1553" spans="5:11" x14ac:dyDescent="0.2">
      <c r="E1553" s="93"/>
      <c r="K1553" s="93"/>
    </row>
    <row r="1554" spans="5:11" x14ac:dyDescent="0.2">
      <c r="E1554" s="93"/>
      <c r="K1554" s="93"/>
    </row>
    <row r="1555" spans="5:11" x14ac:dyDescent="0.2">
      <c r="E1555" s="93"/>
      <c r="K1555" s="93"/>
    </row>
    <row r="1556" spans="5:11" x14ac:dyDescent="0.2">
      <c r="E1556" s="93"/>
      <c r="K1556" s="93"/>
    </row>
    <row r="1557" spans="5:11" x14ac:dyDescent="0.2">
      <c r="E1557" s="93"/>
      <c r="K1557" s="93"/>
    </row>
    <row r="1558" spans="5:11" x14ac:dyDescent="0.2">
      <c r="K1558" s="93"/>
    </row>
    <row r="1559" spans="5:11" x14ac:dyDescent="0.2">
      <c r="E1559" s="93"/>
      <c r="K1559" s="93"/>
    </row>
    <row r="1560" spans="5:11" x14ac:dyDescent="0.2">
      <c r="E1560" s="93"/>
      <c r="K1560" s="93"/>
    </row>
    <row r="1561" spans="5:11" x14ac:dyDescent="0.2">
      <c r="K1561" s="93"/>
    </row>
    <row r="1562" spans="5:11" x14ac:dyDescent="0.2">
      <c r="K1562" s="93"/>
    </row>
    <row r="1563" spans="5:11" x14ac:dyDescent="0.2">
      <c r="K1563" s="93"/>
    </row>
    <row r="1564" spans="5:11" x14ac:dyDescent="0.2">
      <c r="K1564" s="93"/>
    </row>
    <row r="1565" spans="5:11" x14ac:dyDescent="0.2">
      <c r="E1565" s="93"/>
      <c r="K1565" s="93"/>
    </row>
    <row r="1566" spans="5:11" x14ac:dyDescent="0.2">
      <c r="E1566" s="93"/>
      <c r="K1566" s="93"/>
    </row>
    <row r="1567" spans="5:11" x14ac:dyDescent="0.2">
      <c r="E1567" s="93"/>
      <c r="K1567" s="93"/>
    </row>
    <row r="1568" spans="5:11" x14ac:dyDescent="0.2">
      <c r="E1568" s="93"/>
      <c r="K1568" s="93"/>
    </row>
    <row r="1569" spans="5:11" x14ac:dyDescent="0.2">
      <c r="E1569" s="93"/>
      <c r="K1569" s="93"/>
    </row>
    <row r="1570" spans="5:11" x14ac:dyDescent="0.2">
      <c r="E1570" s="93"/>
      <c r="K1570" s="93"/>
    </row>
    <row r="1571" spans="5:11" x14ac:dyDescent="0.2">
      <c r="K1571" s="93"/>
    </row>
    <row r="1572" spans="5:11" x14ac:dyDescent="0.2">
      <c r="E1572" s="93"/>
      <c r="K1572" s="93"/>
    </row>
    <row r="1573" spans="5:11" x14ac:dyDescent="0.2">
      <c r="E1573" s="93"/>
      <c r="K1573" s="93"/>
    </row>
    <row r="1574" spans="5:11" x14ac:dyDescent="0.2">
      <c r="K1574" s="93"/>
    </row>
    <row r="1575" spans="5:11" x14ac:dyDescent="0.2">
      <c r="E1575" s="93"/>
      <c r="K1575" s="93"/>
    </row>
    <row r="1576" spans="5:11" x14ac:dyDescent="0.2">
      <c r="E1576" s="93"/>
      <c r="K1576" s="93"/>
    </row>
    <row r="1577" spans="5:11" x14ac:dyDescent="0.2">
      <c r="E1577" s="93"/>
      <c r="K1577" s="93"/>
    </row>
    <row r="1578" spans="5:11" x14ac:dyDescent="0.2">
      <c r="K1578" s="93"/>
    </row>
    <row r="1579" spans="5:11" x14ac:dyDescent="0.2">
      <c r="E1579" s="93"/>
      <c r="K1579" s="93"/>
    </row>
    <row r="1580" spans="5:11" x14ac:dyDescent="0.2">
      <c r="K1580" s="93"/>
    </row>
    <row r="1581" spans="5:11" x14ac:dyDescent="0.2">
      <c r="E1581" s="93"/>
      <c r="K1581" s="93"/>
    </row>
    <row r="1582" spans="5:11" x14ac:dyDescent="0.2">
      <c r="E1582" s="93"/>
      <c r="K1582" s="93"/>
    </row>
    <row r="1583" spans="5:11" x14ac:dyDescent="0.2">
      <c r="E1583" s="93"/>
      <c r="K1583" s="93"/>
    </row>
    <row r="1584" spans="5:11" x14ac:dyDescent="0.2">
      <c r="E1584" s="93"/>
      <c r="K1584" s="93"/>
    </row>
    <row r="1585" spans="5:11" x14ac:dyDescent="0.2">
      <c r="K1585" s="93"/>
    </row>
    <row r="1586" spans="5:11" x14ac:dyDescent="0.2">
      <c r="E1586" s="93"/>
      <c r="K1586" s="93"/>
    </row>
    <row r="1587" spans="5:11" x14ac:dyDescent="0.2">
      <c r="E1587" s="93"/>
      <c r="K1587" s="93"/>
    </row>
    <row r="1588" spans="5:11" x14ac:dyDescent="0.2">
      <c r="K1588" s="93"/>
    </row>
    <row r="1589" spans="5:11" x14ac:dyDescent="0.2">
      <c r="E1589" s="93"/>
      <c r="K1589" s="93"/>
    </row>
    <row r="1590" spans="5:11" x14ac:dyDescent="0.2">
      <c r="K1590" s="93"/>
    </row>
    <row r="1591" spans="5:11" x14ac:dyDescent="0.2">
      <c r="K1591" s="93"/>
    </row>
    <row r="1592" spans="5:11" x14ac:dyDescent="0.2">
      <c r="K1592" s="93"/>
    </row>
    <row r="1593" spans="5:11" x14ac:dyDescent="0.2">
      <c r="E1593" s="93"/>
      <c r="K1593" s="93"/>
    </row>
    <row r="1594" spans="5:11" x14ac:dyDescent="0.2">
      <c r="E1594" s="93"/>
      <c r="K1594" s="93"/>
    </row>
    <row r="1595" spans="5:11" x14ac:dyDescent="0.2">
      <c r="K1595" s="93"/>
    </row>
    <row r="1596" spans="5:11" x14ac:dyDescent="0.2">
      <c r="E1596" s="93"/>
      <c r="K1596" s="93"/>
    </row>
    <row r="1597" spans="5:11" x14ac:dyDescent="0.2">
      <c r="K1597" s="93"/>
    </row>
    <row r="1598" spans="5:11" x14ac:dyDescent="0.2">
      <c r="E1598" s="93"/>
      <c r="K1598" s="93"/>
    </row>
    <row r="1599" spans="5:11" x14ac:dyDescent="0.2">
      <c r="E1599" s="93"/>
      <c r="K1599" s="93"/>
    </row>
    <row r="1600" spans="5:11" x14ac:dyDescent="0.2">
      <c r="K1600" s="93"/>
    </row>
    <row r="1601" spans="5:11" x14ac:dyDescent="0.2">
      <c r="E1601" s="93"/>
      <c r="K1601" s="93"/>
    </row>
    <row r="1602" spans="5:11" x14ac:dyDescent="0.2">
      <c r="E1602" s="93"/>
      <c r="K1602" s="93"/>
    </row>
    <row r="1603" spans="5:11" x14ac:dyDescent="0.2">
      <c r="E1603" s="93"/>
      <c r="K1603" s="93"/>
    </row>
    <row r="1604" spans="5:11" x14ac:dyDescent="0.2">
      <c r="E1604" s="93"/>
      <c r="K1604" s="93"/>
    </row>
    <row r="1605" spans="5:11" x14ac:dyDescent="0.2">
      <c r="E1605" s="93"/>
      <c r="K1605" s="93"/>
    </row>
    <row r="1606" spans="5:11" x14ac:dyDescent="0.2">
      <c r="E1606" s="93"/>
      <c r="K1606" s="93"/>
    </row>
    <row r="1607" spans="5:11" x14ac:dyDescent="0.2">
      <c r="E1607" s="93"/>
      <c r="K1607" s="93"/>
    </row>
    <row r="1608" spans="5:11" x14ac:dyDescent="0.2">
      <c r="E1608" s="93"/>
      <c r="K1608" s="93"/>
    </row>
    <row r="1609" spans="5:11" x14ac:dyDescent="0.2">
      <c r="E1609" s="93"/>
      <c r="K1609" s="93"/>
    </row>
    <row r="1610" spans="5:11" x14ac:dyDescent="0.2">
      <c r="K1610" s="93"/>
    </row>
    <row r="1611" spans="5:11" x14ac:dyDescent="0.2">
      <c r="K1611" s="93"/>
    </row>
    <row r="1612" spans="5:11" x14ac:dyDescent="0.2">
      <c r="E1612" s="93"/>
      <c r="K1612" s="93"/>
    </row>
    <row r="1613" spans="5:11" x14ac:dyDescent="0.2">
      <c r="E1613" s="93"/>
      <c r="K1613" s="93"/>
    </row>
    <row r="1614" spans="5:11" x14ac:dyDescent="0.2">
      <c r="K1614" s="93"/>
    </row>
    <row r="1615" spans="5:11" x14ac:dyDescent="0.2">
      <c r="E1615" s="93"/>
      <c r="K1615" s="93"/>
    </row>
    <row r="1616" spans="5:11" x14ac:dyDescent="0.2">
      <c r="E1616" s="93"/>
      <c r="K1616" s="93"/>
    </row>
    <row r="1617" spans="5:11" x14ac:dyDescent="0.2">
      <c r="E1617" s="93"/>
      <c r="K1617" s="93"/>
    </row>
    <row r="1618" spans="5:11" x14ac:dyDescent="0.2">
      <c r="K1618" s="93"/>
    </row>
    <row r="1619" spans="5:11" x14ac:dyDescent="0.2">
      <c r="K1619" s="93"/>
    </row>
    <row r="1620" spans="5:11" x14ac:dyDescent="0.2">
      <c r="K1620" s="93"/>
    </row>
    <row r="1621" spans="5:11" x14ac:dyDescent="0.2">
      <c r="E1621" s="93"/>
      <c r="K1621" s="93"/>
    </row>
    <row r="1622" spans="5:11" x14ac:dyDescent="0.2">
      <c r="E1622" s="93"/>
      <c r="K1622" s="93"/>
    </row>
    <row r="1623" spans="5:11" x14ac:dyDescent="0.2">
      <c r="E1623" s="93"/>
      <c r="K1623" s="93"/>
    </row>
    <row r="1624" spans="5:11" x14ac:dyDescent="0.2">
      <c r="K1624" s="93"/>
    </row>
    <row r="1625" spans="5:11" x14ac:dyDescent="0.2">
      <c r="E1625" s="93"/>
      <c r="K1625" s="93"/>
    </row>
    <row r="1626" spans="5:11" x14ac:dyDescent="0.2">
      <c r="E1626" s="93"/>
      <c r="K1626" s="93"/>
    </row>
    <row r="1627" spans="5:11" x14ac:dyDescent="0.2">
      <c r="E1627" s="93"/>
      <c r="K1627" s="93"/>
    </row>
    <row r="1628" spans="5:11" x14ac:dyDescent="0.2">
      <c r="E1628" s="93"/>
      <c r="K1628" s="93"/>
    </row>
    <row r="1629" spans="5:11" x14ac:dyDescent="0.2">
      <c r="K1629" s="93"/>
    </row>
    <row r="1630" spans="5:11" x14ac:dyDescent="0.2">
      <c r="K1630" s="93"/>
    </row>
    <row r="1631" spans="5:11" x14ac:dyDescent="0.2">
      <c r="E1631" s="93"/>
      <c r="K1631" s="93"/>
    </row>
    <row r="1632" spans="5:11" x14ac:dyDescent="0.2">
      <c r="E1632" s="93"/>
      <c r="K1632" s="93"/>
    </row>
    <row r="1633" spans="5:11" x14ac:dyDescent="0.2">
      <c r="E1633" s="93"/>
      <c r="K1633" s="93"/>
    </row>
    <row r="1634" spans="5:11" x14ac:dyDescent="0.2">
      <c r="E1634" s="93"/>
      <c r="K1634" s="93"/>
    </row>
    <row r="1635" spans="5:11" x14ac:dyDescent="0.2">
      <c r="E1635" s="93"/>
      <c r="K1635" s="93"/>
    </row>
    <row r="1636" spans="5:11" x14ac:dyDescent="0.2">
      <c r="E1636" s="93"/>
      <c r="K1636" s="93"/>
    </row>
    <row r="1637" spans="5:11" x14ac:dyDescent="0.2">
      <c r="E1637" s="93"/>
      <c r="K1637" s="93"/>
    </row>
    <row r="1638" spans="5:11" x14ac:dyDescent="0.2">
      <c r="K1638" s="93"/>
    </row>
    <row r="1639" spans="5:11" x14ac:dyDescent="0.2">
      <c r="E1639" s="93"/>
      <c r="K1639" s="93"/>
    </row>
    <row r="1640" spans="5:11" x14ac:dyDescent="0.2">
      <c r="K1640" s="93"/>
    </row>
    <row r="1641" spans="5:11" x14ac:dyDescent="0.2">
      <c r="K1641" s="93"/>
    </row>
    <row r="1642" spans="5:11" x14ac:dyDescent="0.2">
      <c r="E1642" s="93"/>
      <c r="K1642" s="93"/>
    </row>
    <row r="1643" spans="5:11" x14ac:dyDescent="0.2">
      <c r="K1643" s="93"/>
    </row>
    <row r="1644" spans="5:11" x14ac:dyDescent="0.2">
      <c r="E1644" s="93"/>
      <c r="K1644" s="93"/>
    </row>
    <row r="1645" spans="5:11" x14ac:dyDescent="0.2">
      <c r="K1645" s="93"/>
    </row>
    <row r="1646" spans="5:11" x14ac:dyDescent="0.2">
      <c r="E1646" s="93"/>
      <c r="K1646" s="93"/>
    </row>
    <row r="1647" spans="5:11" x14ac:dyDescent="0.2">
      <c r="E1647" s="93"/>
      <c r="K1647" s="93"/>
    </row>
    <row r="1648" spans="5:11" x14ac:dyDescent="0.2">
      <c r="K1648" s="93"/>
    </row>
    <row r="1649" spans="5:11" x14ac:dyDescent="0.2">
      <c r="E1649" s="93"/>
      <c r="K1649" s="93"/>
    </row>
    <row r="1650" spans="5:11" x14ac:dyDescent="0.2">
      <c r="E1650" s="93"/>
      <c r="K1650" s="93"/>
    </row>
    <row r="1651" spans="5:11" x14ac:dyDescent="0.2">
      <c r="E1651" s="93"/>
      <c r="K1651" s="93"/>
    </row>
    <row r="1652" spans="5:11" x14ac:dyDescent="0.2">
      <c r="K1652" s="93"/>
    </row>
    <row r="1653" spans="5:11" x14ac:dyDescent="0.2">
      <c r="K1653" s="93"/>
    </row>
    <row r="1654" spans="5:11" x14ac:dyDescent="0.2">
      <c r="E1654" s="93"/>
      <c r="K1654" s="93"/>
    </row>
    <row r="1655" spans="5:11" x14ac:dyDescent="0.2">
      <c r="E1655" s="93"/>
      <c r="K1655" s="93"/>
    </row>
    <row r="1656" spans="5:11" x14ac:dyDescent="0.2">
      <c r="E1656" s="93"/>
      <c r="K1656" s="93"/>
    </row>
    <row r="1657" spans="5:11" x14ac:dyDescent="0.2">
      <c r="K1657" s="93"/>
    </row>
    <row r="1658" spans="5:11" x14ac:dyDescent="0.2">
      <c r="K1658" s="93"/>
    </row>
    <row r="1659" spans="5:11" x14ac:dyDescent="0.2">
      <c r="E1659" s="93"/>
      <c r="K1659" s="93"/>
    </row>
    <row r="1660" spans="5:11" x14ac:dyDescent="0.2">
      <c r="K1660" s="93"/>
    </row>
    <row r="1661" spans="5:11" x14ac:dyDescent="0.2">
      <c r="E1661" s="93"/>
      <c r="K1661" s="93"/>
    </row>
    <row r="1662" spans="5:11" x14ac:dyDescent="0.2">
      <c r="K1662" s="93"/>
    </row>
    <row r="1663" spans="5:11" x14ac:dyDescent="0.2">
      <c r="K1663" s="93"/>
    </row>
    <row r="1664" spans="5:11" x14ac:dyDescent="0.2">
      <c r="E1664" s="93"/>
      <c r="K1664" s="93"/>
    </row>
    <row r="1665" spans="5:11" x14ac:dyDescent="0.2">
      <c r="E1665" s="93"/>
      <c r="K1665" s="93"/>
    </row>
    <row r="1666" spans="5:11" x14ac:dyDescent="0.2">
      <c r="E1666" s="93"/>
      <c r="K1666" s="93"/>
    </row>
    <row r="1667" spans="5:11" x14ac:dyDescent="0.2">
      <c r="E1667" s="93"/>
      <c r="K1667" s="93"/>
    </row>
    <row r="1668" spans="5:11" x14ac:dyDescent="0.2">
      <c r="E1668" s="93"/>
      <c r="K1668" s="93"/>
    </row>
    <row r="1669" spans="5:11" x14ac:dyDescent="0.2">
      <c r="K1669" s="93"/>
    </row>
    <row r="1670" spans="5:11" x14ac:dyDescent="0.2">
      <c r="E1670" s="93"/>
      <c r="K1670" s="93"/>
    </row>
    <row r="1671" spans="5:11" x14ac:dyDescent="0.2">
      <c r="K1671" s="93"/>
    </row>
    <row r="1672" spans="5:11" x14ac:dyDescent="0.2">
      <c r="K1672" s="93"/>
    </row>
    <row r="1673" spans="5:11" x14ac:dyDescent="0.2">
      <c r="K1673" s="93"/>
    </row>
    <row r="1674" spans="5:11" x14ac:dyDescent="0.2">
      <c r="E1674" s="93"/>
      <c r="K1674" s="93"/>
    </row>
    <row r="1675" spans="5:11" x14ac:dyDescent="0.2">
      <c r="E1675" s="93"/>
      <c r="K1675" s="93"/>
    </row>
    <row r="1676" spans="5:11" x14ac:dyDescent="0.2">
      <c r="K1676" s="93"/>
    </row>
    <row r="1677" spans="5:11" x14ac:dyDescent="0.2">
      <c r="E1677" s="93"/>
      <c r="K1677" s="93"/>
    </row>
    <row r="1678" spans="5:11" x14ac:dyDescent="0.2">
      <c r="E1678" s="93"/>
      <c r="K1678" s="93"/>
    </row>
    <row r="1679" spans="5:11" x14ac:dyDescent="0.2">
      <c r="E1679" s="93"/>
      <c r="K1679" s="93"/>
    </row>
    <row r="1680" spans="5:11" x14ac:dyDescent="0.2">
      <c r="E1680" s="93"/>
      <c r="K1680" s="93"/>
    </row>
    <row r="1681" spans="5:11" x14ac:dyDescent="0.2">
      <c r="E1681" s="93"/>
      <c r="K1681" s="93"/>
    </row>
    <row r="1682" spans="5:11" x14ac:dyDescent="0.2">
      <c r="E1682" s="93"/>
      <c r="K1682" s="93"/>
    </row>
    <row r="1683" spans="5:11" x14ac:dyDescent="0.2">
      <c r="K1683" s="93"/>
    </row>
    <row r="1684" spans="5:11" x14ac:dyDescent="0.2">
      <c r="E1684" s="93"/>
      <c r="K1684" s="93"/>
    </row>
    <row r="1685" spans="5:11" x14ac:dyDescent="0.2">
      <c r="K1685" s="93"/>
    </row>
    <row r="1686" spans="5:11" x14ac:dyDescent="0.2">
      <c r="K1686" s="93"/>
    </row>
    <row r="1687" spans="5:11" x14ac:dyDescent="0.2">
      <c r="E1687" s="93"/>
      <c r="K1687" s="93"/>
    </row>
    <row r="1688" spans="5:11" x14ac:dyDescent="0.2">
      <c r="E1688" s="93"/>
      <c r="K1688" s="93"/>
    </row>
    <row r="1689" spans="5:11" x14ac:dyDescent="0.2">
      <c r="K1689" s="93"/>
    </row>
    <row r="1690" spans="5:11" x14ac:dyDescent="0.2">
      <c r="E1690" s="93"/>
      <c r="K1690" s="93"/>
    </row>
    <row r="1691" spans="5:11" x14ac:dyDescent="0.2">
      <c r="E1691" s="93"/>
      <c r="K1691" s="93"/>
    </row>
    <row r="1692" spans="5:11" x14ac:dyDescent="0.2">
      <c r="E1692" s="93"/>
      <c r="K1692" s="93"/>
    </row>
    <row r="1693" spans="5:11" x14ac:dyDescent="0.2">
      <c r="K1693" s="93"/>
    </row>
    <row r="1694" spans="5:11" x14ac:dyDescent="0.2">
      <c r="K1694" s="93"/>
    </row>
    <row r="1695" spans="5:11" x14ac:dyDescent="0.2">
      <c r="K1695" s="93"/>
    </row>
    <row r="1696" spans="5:11" x14ac:dyDescent="0.2">
      <c r="E1696" s="93"/>
      <c r="K1696" s="93"/>
    </row>
    <row r="1697" spans="5:11" x14ac:dyDescent="0.2">
      <c r="E1697" s="93"/>
      <c r="K1697" s="93"/>
    </row>
    <row r="1698" spans="5:11" x14ac:dyDescent="0.2">
      <c r="E1698" s="93"/>
      <c r="K1698" s="93"/>
    </row>
    <row r="1699" spans="5:11" x14ac:dyDescent="0.2">
      <c r="E1699" s="93"/>
      <c r="K1699" s="93"/>
    </row>
    <row r="1700" spans="5:11" x14ac:dyDescent="0.2">
      <c r="K1700" s="93"/>
    </row>
    <row r="1701" spans="5:11" x14ac:dyDescent="0.2">
      <c r="E1701" s="93"/>
      <c r="K1701" s="93"/>
    </row>
    <row r="1702" spans="5:11" x14ac:dyDescent="0.2">
      <c r="E1702" s="93"/>
      <c r="K1702" s="93"/>
    </row>
    <row r="1703" spans="5:11" x14ac:dyDescent="0.2">
      <c r="K1703" s="93"/>
    </row>
    <row r="1704" spans="5:11" x14ac:dyDescent="0.2">
      <c r="E1704" s="93"/>
      <c r="K1704" s="93"/>
    </row>
    <row r="1705" spans="5:11" x14ac:dyDescent="0.2">
      <c r="K1705" s="93"/>
    </row>
    <row r="1706" spans="5:11" x14ac:dyDescent="0.2">
      <c r="E1706" s="93"/>
      <c r="K1706" s="93"/>
    </row>
    <row r="1707" spans="5:11" x14ac:dyDescent="0.2">
      <c r="E1707" s="93"/>
      <c r="K1707" s="93"/>
    </row>
    <row r="1708" spans="5:11" x14ac:dyDescent="0.2">
      <c r="E1708" s="93"/>
      <c r="K1708" s="93"/>
    </row>
    <row r="1709" spans="5:11" x14ac:dyDescent="0.2">
      <c r="E1709" s="93"/>
      <c r="K1709" s="93"/>
    </row>
    <row r="1710" spans="5:11" x14ac:dyDescent="0.2">
      <c r="E1710" s="93"/>
      <c r="K1710" s="93"/>
    </row>
    <row r="1711" spans="5:11" x14ac:dyDescent="0.2">
      <c r="K1711" s="93"/>
    </row>
    <row r="1712" spans="5:11" x14ac:dyDescent="0.2">
      <c r="E1712" s="93"/>
      <c r="K1712" s="93"/>
    </row>
    <row r="1713" spans="5:11" x14ac:dyDescent="0.2">
      <c r="E1713" s="93"/>
      <c r="K1713" s="93"/>
    </row>
    <row r="1714" spans="5:11" x14ac:dyDescent="0.2">
      <c r="E1714" s="93"/>
      <c r="K1714" s="93"/>
    </row>
    <row r="1715" spans="5:11" x14ac:dyDescent="0.2">
      <c r="E1715" s="93"/>
      <c r="K1715" s="93"/>
    </row>
    <row r="1716" spans="5:11" x14ac:dyDescent="0.2">
      <c r="E1716" s="93"/>
      <c r="K1716" s="93"/>
    </row>
    <row r="1717" spans="5:11" x14ac:dyDescent="0.2">
      <c r="E1717" s="93"/>
      <c r="K1717" s="93"/>
    </row>
    <row r="1718" spans="5:11" x14ac:dyDescent="0.2">
      <c r="E1718" s="93"/>
      <c r="K1718" s="93"/>
    </row>
    <row r="1719" spans="5:11" x14ac:dyDescent="0.2">
      <c r="E1719" s="93"/>
      <c r="K1719" s="93"/>
    </row>
    <row r="1720" spans="5:11" x14ac:dyDescent="0.2">
      <c r="E1720" s="93"/>
      <c r="K1720" s="93"/>
    </row>
    <row r="1721" spans="5:11" x14ac:dyDescent="0.2">
      <c r="E1721" s="93"/>
      <c r="K1721" s="93"/>
    </row>
    <row r="1722" spans="5:11" x14ac:dyDescent="0.2">
      <c r="E1722" s="93"/>
      <c r="K1722" s="93"/>
    </row>
    <row r="1723" spans="5:11" x14ac:dyDescent="0.2">
      <c r="E1723" s="93"/>
      <c r="K1723" s="93"/>
    </row>
    <row r="1724" spans="5:11" x14ac:dyDescent="0.2">
      <c r="E1724" s="93"/>
      <c r="K1724" s="93"/>
    </row>
    <row r="1725" spans="5:11" x14ac:dyDescent="0.2">
      <c r="E1725" s="93"/>
      <c r="K1725" s="93"/>
    </row>
    <row r="1726" spans="5:11" x14ac:dyDescent="0.2">
      <c r="K1726" s="93"/>
    </row>
    <row r="1727" spans="5:11" x14ac:dyDescent="0.2">
      <c r="K1727" s="93"/>
    </row>
    <row r="1728" spans="5:11" x14ac:dyDescent="0.2">
      <c r="K1728" s="93"/>
    </row>
    <row r="1729" spans="5:11" x14ac:dyDescent="0.2">
      <c r="K1729" s="93"/>
    </row>
    <row r="1730" spans="5:11" x14ac:dyDescent="0.2">
      <c r="K1730" s="93"/>
    </row>
    <row r="1731" spans="5:11" x14ac:dyDescent="0.2">
      <c r="E1731" s="93"/>
      <c r="K1731" s="93"/>
    </row>
    <row r="1732" spans="5:11" x14ac:dyDescent="0.2">
      <c r="K1732" s="93"/>
    </row>
    <row r="1733" spans="5:11" x14ac:dyDescent="0.2">
      <c r="K1733" s="93"/>
    </row>
    <row r="1734" spans="5:11" x14ac:dyDescent="0.2">
      <c r="K1734" s="93"/>
    </row>
    <row r="1735" spans="5:11" x14ac:dyDescent="0.2">
      <c r="E1735" s="93"/>
      <c r="K1735" s="93"/>
    </row>
    <row r="1736" spans="5:11" x14ac:dyDescent="0.2">
      <c r="K1736" s="93"/>
    </row>
    <row r="1737" spans="5:11" x14ac:dyDescent="0.2">
      <c r="E1737" s="93"/>
      <c r="K1737" s="93"/>
    </row>
    <row r="1738" spans="5:11" x14ac:dyDescent="0.2">
      <c r="E1738" s="93"/>
      <c r="K1738" s="93"/>
    </row>
    <row r="1739" spans="5:11" x14ac:dyDescent="0.2">
      <c r="K1739" s="93"/>
    </row>
    <row r="1740" spans="5:11" x14ac:dyDescent="0.2">
      <c r="E1740" s="93"/>
      <c r="K1740" s="93"/>
    </row>
    <row r="1741" spans="5:11" x14ac:dyDescent="0.2">
      <c r="E1741" s="93"/>
      <c r="K1741" s="93"/>
    </row>
    <row r="1742" spans="5:11" x14ac:dyDescent="0.2">
      <c r="E1742" s="93"/>
      <c r="K1742" s="93"/>
    </row>
    <row r="1743" spans="5:11" x14ac:dyDescent="0.2">
      <c r="E1743" s="93"/>
      <c r="K1743" s="93"/>
    </row>
    <row r="1744" spans="5:11" x14ac:dyDescent="0.2">
      <c r="E1744" s="93"/>
      <c r="K1744" s="93"/>
    </row>
    <row r="1745" spans="5:11" x14ac:dyDescent="0.2">
      <c r="K1745" s="93"/>
    </row>
    <row r="1746" spans="5:11" x14ac:dyDescent="0.2">
      <c r="E1746" s="93"/>
      <c r="K1746" s="93"/>
    </row>
    <row r="1747" spans="5:11" x14ac:dyDescent="0.2">
      <c r="E1747" s="93"/>
      <c r="K1747" s="93"/>
    </row>
    <row r="1748" spans="5:11" x14ac:dyDescent="0.2">
      <c r="E1748" s="93"/>
      <c r="K1748" s="93"/>
    </row>
    <row r="1749" spans="5:11" x14ac:dyDescent="0.2">
      <c r="E1749" s="93"/>
      <c r="K1749" s="93"/>
    </row>
    <row r="1750" spans="5:11" x14ac:dyDescent="0.2">
      <c r="K1750" s="93"/>
    </row>
    <row r="1751" spans="5:11" x14ac:dyDescent="0.2">
      <c r="E1751" s="93"/>
      <c r="K1751" s="93"/>
    </row>
    <row r="1752" spans="5:11" x14ac:dyDescent="0.2">
      <c r="K1752" s="93"/>
    </row>
    <row r="1753" spans="5:11" x14ac:dyDescent="0.2">
      <c r="E1753" s="93"/>
      <c r="K1753" s="93"/>
    </row>
    <row r="1754" spans="5:11" x14ac:dyDescent="0.2">
      <c r="K1754" s="93"/>
    </row>
    <row r="1755" spans="5:11" x14ac:dyDescent="0.2">
      <c r="E1755" s="93"/>
      <c r="K1755" s="93"/>
    </row>
    <row r="1756" spans="5:11" x14ac:dyDescent="0.2">
      <c r="E1756" s="93"/>
      <c r="K1756" s="93"/>
    </row>
    <row r="1757" spans="5:11" x14ac:dyDescent="0.2">
      <c r="E1757" s="93"/>
      <c r="K1757" s="93"/>
    </row>
    <row r="1758" spans="5:11" x14ac:dyDescent="0.2">
      <c r="K1758" s="93"/>
    </row>
    <row r="1759" spans="5:11" x14ac:dyDescent="0.2">
      <c r="E1759" s="93"/>
      <c r="K1759" s="93"/>
    </row>
    <row r="1760" spans="5:11" x14ac:dyDescent="0.2">
      <c r="E1760" s="93"/>
      <c r="K1760" s="93"/>
    </row>
    <row r="1761" spans="5:11" x14ac:dyDescent="0.2">
      <c r="K1761" s="93"/>
    </row>
    <row r="1762" spans="5:11" x14ac:dyDescent="0.2">
      <c r="E1762" s="93"/>
      <c r="K1762" s="93"/>
    </row>
    <row r="1763" spans="5:11" x14ac:dyDescent="0.2">
      <c r="K1763" s="93"/>
    </row>
    <row r="1764" spans="5:11" x14ac:dyDescent="0.2">
      <c r="K1764" s="93"/>
    </row>
    <row r="1765" spans="5:11" x14ac:dyDescent="0.2">
      <c r="E1765" s="93"/>
      <c r="K1765" s="93"/>
    </row>
    <row r="1766" spans="5:11" x14ac:dyDescent="0.2">
      <c r="E1766" s="93"/>
      <c r="K1766" s="93"/>
    </row>
    <row r="1767" spans="5:11" x14ac:dyDescent="0.2">
      <c r="K1767" s="93"/>
    </row>
    <row r="1768" spans="5:11" x14ac:dyDescent="0.2">
      <c r="E1768" s="93"/>
      <c r="K1768" s="93"/>
    </row>
    <row r="1769" spans="5:11" x14ac:dyDescent="0.2">
      <c r="E1769" s="93"/>
      <c r="K1769" s="93"/>
    </row>
    <row r="1770" spans="5:11" x14ac:dyDescent="0.2">
      <c r="E1770" s="93"/>
      <c r="K1770" s="93"/>
    </row>
    <row r="1771" spans="5:11" x14ac:dyDescent="0.2">
      <c r="K1771" s="93"/>
    </row>
    <row r="1772" spans="5:11" x14ac:dyDescent="0.2">
      <c r="E1772" s="93"/>
      <c r="K1772" s="93"/>
    </row>
    <row r="1773" spans="5:11" x14ac:dyDescent="0.2">
      <c r="K1773" s="93"/>
    </row>
    <row r="1774" spans="5:11" x14ac:dyDescent="0.2">
      <c r="K1774" s="93"/>
    </row>
    <row r="1775" spans="5:11" x14ac:dyDescent="0.2">
      <c r="K1775" s="93"/>
    </row>
    <row r="1776" spans="5:11" x14ac:dyDescent="0.2">
      <c r="E1776" s="93"/>
      <c r="K1776" s="93"/>
    </row>
    <row r="1777" spans="5:11" x14ac:dyDescent="0.2">
      <c r="E1777" s="93"/>
      <c r="K1777" s="93"/>
    </row>
    <row r="1778" spans="5:11" x14ac:dyDescent="0.2">
      <c r="K1778" s="93"/>
    </row>
    <row r="1779" spans="5:11" x14ac:dyDescent="0.2">
      <c r="E1779" s="93"/>
      <c r="K1779" s="93"/>
    </row>
    <row r="1780" spans="5:11" x14ac:dyDescent="0.2">
      <c r="E1780" s="93"/>
      <c r="K1780" s="93"/>
    </row>
    <row r="1781" spans="5:11" x14ac:dyDescent="0.2">
      <c r="E1781" s="93"/>
      <c r="K1781" s="93"/>
    </row>
    <row r="1782" spans="5:11" x14ac:dyDescent="0.2">
      <c r="K1782" s="93"/>
    </row>
    <row r="1783" spans="5:11" x14ac:dyDescent="0.2">
      <c r="E1783" s="93"/>
      <c r="K1783" s="93"/>
    </row>
    <row r="1784" spans="5:11" x14ac:dyDescent="0.2">
      <c r="E1784" s="93"/>
      <c r="K1784" s="93"/>
    </row>
    <row r="1785" spans="5:11" x14ac:dyDescent="0.2">
      <c r="E1785" s="93"/>
      <c r="K1785" s="93"/>
    </row>
    <row r="1786" spans="5:11" x14ac:dyDescent="0.2">
      <c r="E1786" s="93"/>
      <c r="K1786" s="93"/>
    </row>
    <row r="1787" spans="5:11" x14ac:dyDescent="0.2">
      <c r="K1787" s="93"/>
    </row>
    <row r="1788" spans="5:11" x14ac:dyDescent="0.2">
      <c r="E1788" s="93"/>
      <c r="K1788" s="93"/>
    </row>
    <row r="1789" spans="5:11" x14ac:dyDescent="0.2">
      <c r="E1789" s="93"/>
      <c r="K1789" s="93"/>
    </row>
    <row r="1790" spans="5:11" x14ac:dyDescent="0.2">
      <c r="E1790" s="93"/>
      <c r="K1790" s="93"/>
    </row>
    <row r="1791" spans="5:11" x14ac:dyDescent="0.2">
      <c r="E1791" s="93"/>
      <c r="K1791" s="93"/>
    </row>
    <row r="1792" spans="5:11" x14ac:dyDescent="0.2">
      <c r="E1792" s="93"/>
      <c r="K1792" s="93"/>
    </row>
    <row r="1793" spans="5:11" x14ac:dyDescent="0.2">
      <c r="E1793" s="93"/>
      <c r="K1793" s="93"/>
    </row>
    <row r="1794" spans="5:11" x14ac:dyDescent="0.2">
      <c r="E1794" s="93"/>
      <c r="K1794" s="93"/>
    </row>
    <row r="1795" spans="5:11" x14ac:dyDescent="0.2">
      <c r="E1795" s="93"/>
      <c r="K1795" s="93"/>
    </row>
    <row r="1796" spans="5:11" x14ac:dyDescent="0.2">
      <c r="E1796" s="93"/>
      <c r="K1796" s="93"/>
    </row>
    <row r="1797" spans="5:11" x14ac:dyDescent="0.2">
      <c r="E1797" s="93"/>
      <c r="K1797" s="93"/>
    </row>
    <row r="1798" spans="5:11" x14ac:dyDescent="0.2">
      <c r="K1798" s="93"/>
    </row>
    <row r="1799" spans="5:11" x14ac:dyDescent="0.2">
      <c r="K1799" s="93"/>
    </row>
    <row r="1800" spans="5:11" x14ac:dyDescent="0.2">
      <c r="E1800" s="93"/>
      <c r="K1800" s="93"/>
    </row>
    <row r="1801" spans="5:11" x14ac:dyDescent="0.2">
      <c r="K1801" s="93"/>
    </row>
    <row r="1802" spans="5:11" x14ac:dyDescent="0.2">
      <c r="K1802" s="93"/>
    </row>
    <row r="1803" spans="5:11" x14ac:dyDescent="0.2">
      <c r="E1803" s="93"/>
      <c r="K1803" s="93"/>
    </row>
    <row r="1804" spans="5:11" x14ac:dyDescent="0.2">
      <c r="K1804" s="93"/>
    </row>
    <row r="1805" spans="5:11" x14ac:dyDescent="0.2">
      <c r="K1805" s="93"/>
    </row>
    <row r="1806" spans="5:11" x14ac:dyDescent="0.2">
      <c r="E1806" s="93"/>
      <c r="K1806" s="93"/>
    </row>
    <row r="1807" spans="5:11" x14ac:dyDescent="0.2">
      <c r="E1807" s="93"/>
      <c r="K1807" s="93"/>
    </row>
    <row r="1808" spans="5:11" x14ac:dyDescent="0.2">
      <c r="K1808" s="93"/>
    </row>
    <row r="1809" spans="5:11" x14ac:dyDescent="0.2">
      <c r="K1809" s="93"/>
    </row>
    <row r="1810" spans="5:11" x14ac:dyDescent="0.2">
      <c r="K1810" s="93"/>
    </row>
    <row r="1811" spans="5:11" x14ac:dyDescent="0.2">
      <c r="K1811" s="93"/>
    </row>
    <row r="1812" spans="5:11" x14ac:dyDescent="0.2">
      <c r="K1812" s="93"/>
    </row>
    <row r="1813" spans="5:11" x14ac:dyDescent="0.2">
      <c r="E1813" s="93"/>
      <c r="K1813" s="93"/>
    </row>
    <row r="1814" spans="5:11" x14ac:dyDescent="0.2">
      <c r="E1814" s="93"/>
      <c r="K1814" s="93"/>
    </row>
    <row r="1815" spans="5:11" x14ac:dyDescent="0.2">
      <c r="E1815" s="93"/>
      <c r="K1815" s="93"/>
    </row>
    <row r="1816" spans="5:11" x14ac:dyDescent="0.2">
      <c r="E1816" s="93"/>
      <c r="K1816" s="93"/>
    </row>
    <row r="1817" spans="5:11" x14ac:dyDescent="0.2">
      <c r="E1817" s="93"/>
      <c r="K1817" s="93"/>
    </row>
    <row r="1818" spans="5:11" x14ac:dyDescent="0.2">
      <c r="K1818" s="93"/>
    </row>
    <row r="1819" spans="5:11" x14ac:dyDescent="0.2">
      <c r="E1819" s="93"/>
      <c r="K1819" s="93"/>
    </row>
    <row r="1820" spans="5:11" x14ac:dyDescent="0.2">
      <c r="E1820" s="93"/>
      <c r="K1820" s="93"/>
    </row>
    <row r="1821" spans="5:11" x14ac:dyDescent="0.2">
      <c r="E1821" s="93"/>
      <c r="K1821" s="93"/>
    </row>
    <row r="1822" spans="5:11" x14ac:dyDescent="0.2">
      <c r="K1822" s="93"/>
    </row>
    <row r="1823" spans="5:11" x14ac:dyDescent="0.2">
      <c r="K1823" s="93"/>
    </row>
    <row r="1824" spans="5:11" x14ac:dyDescent="0.2">
      <c r="K1824" s="93"/>
    </row>
    <row r="1825" spans="5:11" x14ac:dyDescent="0.2">
      <c r="K1825" s="93"/>
    </row>
    <row r="1826" spans="5:11" x14ac:dyDescent="0.2">
      <c r="K1826" s="93"/>
    </row>
    <row r="1827" spans="5:11" x14ac:dyDescent="0.2">
      <c r="K1827" s="93"/>
    </row>
    <row r="1828" spans="5:11" x14ac:dyDescent="0.2">
      <c r="E1828" s="93"/>
      <c r="K1828" s="93"/>
    </row>
    <row r="1829" spans="5:11" x14ac:dyDescent="0.2">
      <c r="K1829" s="93"/>
    </row>
    <row r="1830" spans="5:11" x14ac:dyDescent="0.2">
      <c r="E1830" s="93"/>
      <c r="K1830" s="93"/>
    </row>
    <row r="1831" spans="5:11" x14ac:dyDescent="0.2">
      <c r="K1831" s="93"/>
    </row>
    <row r="1832" spans="5:11" x14ac:dyDescent="0.2">
      <c r="K1832" s="93"/>
    </row>
    <row r="1833" spans="5:11" x14ac:dyDescent="0.2">
      <c r="E1833" s="93"/>
      <c r="K1833" s="93"/>
    </row>
    <row r="1834" spans="5:11" x14ac:dyDescent="0.2">
      <c r="K1834" s="93"/>
    </row>
    <row r="1835" spans="5:11" x14ac:dyDescent="0.2">
      <c r="E1835" s="93"/>
      <c r="K1835" s="93"/>
    </row>
    <row r="1836" spans="5:11" x14ac:dyDescent="0.2">
      <c r="K1836" s="93"/>
    </row>
    <row r="1837" spans="5:11" x14ac:dyDescent="0.2">
      <c r="E1837" s="93"/>
      <c r="K1837" s="93"/>
    </row>
    <row r="1838" spans="5:11" x14ac:dyDescent="0.2">
      <c r="K1838" s="93"/>
    </row>
    <row r="1839" spans="5:11" x14ac:dyDescent="0.2">
      <c r="E1839" s="93"/>
      <c r="K1839" s="93"/>
    </row>
    <row r="1840" spans="5:11" x14ac:dyDescent="0.2">
      <c r="K1840" s="93"/>
    </row>
    <row r="1841" spans="5:11" x14ac:dyDescent="0.2">
      <c r="E1841" s="93"/>
      <c r="K1841" s="93"/>
    </row>
    <row r="1842" spans="5:11" x14ac:dyDescent="0.2">
      <c r="K1842" s="93"/>
    </row>
    <row r="1843" spans="5:11" x14ac:dyDescent="0.2">
      <c r="E1843" s="93"/>
      <c r="K1843" s="93"/>
    </row>
    <row r="1844" spans="5:11" x14ac:dyDescent="0.2">
      <c r="E1844" s="93"/>
      <c r="K1844" s="93"/>
    </row>
    <row r="1845" spans="5:11" x14ac:dyDescent="0.2">
      <c r="E1845" s="93"/>
      <c r="K1845" s="93"/>
    </row>
    <row r="1846" spans="5:11" x14ac:dyDescent="0.2">
      <c r="E1846" s="93"/>
      <c r="K1846" s="93"/>
    </row>
    <row r="1847" spans="5:11" x14ac:dyDescent="0.2">
      <c r="K1847" s="93"/>
    </row>
    <row r="1848" spans="5:11" x14ac:dyDescent="0.2">
      <c r="E1848" s="93"/>
      <c r="K1848" s="93"/>
    </row>
    <row r="1849" spans="5:11" x14ac:dyDescent="0.2">
      <c r="E1849" s="93"/>
      <c r="K1849" s="93"/>
    </row>
    <row r="1850" spans="5:11" x14ac:dyDescent="0.2">
      <c r="E1850" s="93"/>
      <c r="K1850" s="93"/>
    </row>
    <row r="1851" spans="5:11" x14ac:dyDescent="0.2">
      <c r="E1851" s="93"/>
      <c r="K1851" s="93"/>
    </row>
    <row r="1852" spans="5:11" x14ac:dyDescent="0.2">
      <c r="K1852" s="93"/>
    </row>
    <row r="1853" spans="5:11" x14ac:dyDescent="0.2">
      <c r="E1853" s="93"/>
      <c r="K1853" s="93"/>
    </row>
    <row r="1854" spans="5:11" x14ac:dyDescent="0.2">
      <c r="K1854" s="93"/>
    </row>
    <row r="1855" spans="5:11" x14ac:dyDescent="0.2">
      <c r="E1855" s="93"/>
      <c r="K1855" s="93"/>
    </row>
    <row r="1856" spans="5:11" x14ac:dyDescent="0.2">
      <c r="K1856" s="93"/>
    </row>
    <row r="1857" spans="5:11" x14ac:dyDescent="0.2">
      <c r="K1857" s="93"/>
    </row>
    <row r="1858" spans="5:11" x14ac:dyDescent="0.2">
      <c r="K1858" s="93"/>
    </row>
    <row r="1859" spans="5:11" x14ac:dyDescent="0.2">
      <c r="E1859" s="93"/>
      <c r="K1859" s="93"/>
    </row>
    <row r="1860" spans="5:11" x14ac:dyDescent="0.2">
      <c r="K1860" s="93"/>
    </row>
    <row r="1861" spans="5:11" x14ac:dyDescent="0.2">
      <c r="K1861" s="93"/>
    </row>
    <row r="1862" spans="5:11" x14ac:dyDescent="0.2">
      <c r="K1862" s="93"/>
    </row>
    <row r="1863" spans="5:11" x14ac:dyDescent="0.2">
      <c r="E1863" s="93"/>
      <c r="K1863" s="93"/>
    </row>
    <row r="1864" spans="5:11" x14ac:dyDescent="0.2">
      <c r="K1864" s="93"/>
    </row>
    <row r="1865" spans="5:11" x14ac:dyDescent="0.2">
      <c r="K1865" s="93"/>
    </row>
    <row r="1866" spans="5:11" x14ac:dyDescent="0.2">
      <c r="K1866" s="93"/>
    </row>
    <row r="1867" spans="5:11" x14ac:dyDescent="0.2">
      <c r="E1867" s="93"/>
      <c r="K1867" s="93"/>
    </row>
    <row r="1868" spans="5:11" x14ac:dyDescent="0.2">
      <c r="E1868" s="93"/>
      <c r="K1868" s="93"/>
    </row>
    <row r="1869" spans="5:11" x14ac:dyDescent="0.2">
      <c r="E1869" s="93"/>
      <c r="K1869" s="93"/>
    </row>
    <row r="1870" spans="5:11" x14ac:dyDescent="0.2">
      <c r="E1870" s="93"/>
      <c r="K1870" s="93"/>
    </row>
    <row r="1871" spans="5:11" x14ac:dyDescent="0.2">
      <c r="E1871" s="93"/>
      <c r="K1871" s="93"/>
    </row>
    <row r="1872" spans="5:11" x14ac:dyDescent="0.2">
      <c r="E1872" s="93"/>
      <c r="K1872" s="93"/>
    </row>
    <row r="1873" spans="5:11" x14ac:dyDescent="0.2">
      <c r="K1873" s="93"/>
    </row>
    <row r="1874" spans="5:11" x14ac:dyDescent="0.2">
      <c r="K1874" s="93"/>
    </row>
    <row r="1875" spans="5:11" x14ac:dyDescent="0.2">
      <c r="K1875" s="93"/>
    </row>
    <row r="1876" spans="5:11" x14ac:dyDescent="0.2">
      <c r="E1876" s="93"/>
      <c r="K1876" s="93"/>
    </row>
    <row r="1877" spans="5:11" x14ac:dyDescent="0.2">
      <c r="E1877" s="93"/>
      <c r="K1877" s="93"/>
    </row>
    <row r="1878" spans="5:11" x14ac:dyDescent="0.2">
      <c r="E1878" s="93"/>
      <c r="K1878" s="93"/>
    </row>
    <row r="1879" spans="5:11" x14ac:dyDescent="0.2">
      <c r="E1879" s="93"/>
      <c r="K1879" s="93"/>
    </row>
    <row r="1880" spans="5:11" x14ac:dyDescent="0.2">
      <c r="E1880" s="93"/>
      <c r="K1880" s="93"/>
    </row>
    <row r="1881" spans="5:11" x14ac:dyDescent="0.2">
      <c r="K1881" s="93"/>
    </row>
    <row r="1882" spans="5:11" x14ac:dyDescent="0.2">
      <c r="E1882" s="93"/>
      <c r="K1882" s="93"/>
    </row>
    <row r="1883" spans="5:11" x14ac:dyDescent="0.2">
      <c r="K1883" s="93"/>
    </row>
    <row r="1884" spans="5:11" x14ac:dyDescent="0.2">
      <c r="E1884" s="93"/>
      <c r="K1884" s="93"/>
    </row>
    <row r="1885" spans="5:11" x14ac:dyDescent="0.2">
      <c r="E1885" s="93"/>
      <c r="K1885" s="93"/>
    </row>
    <row r="1886" spans="5:11" x14ac:dyDescent="0.2">
      <c r="E1886" s="93"/>
      <c r="K1886" s="93"/>
    </row>
    <row r="1887" spans="5:11" x14ac:dyDescent="0.2">
      <c r="E1887" s="93"/>
      <c r="K1887" s="93"/>
    </row>
    <row r="1888" spans="5:11" x14ac:dyDescent="0.2">
      <c r="K1888" s="93"/>
    </row>
    <row r="1889" spans="5:11" x14ac:dyDescent="0.2">
      <c r="E1889" s="93"/>
      <c r="K1889" s="93"/>
    </row>
    <row r="1890" spans="5:11" x14ac:dyDescent="0.2">
      <c r="K1890" s="93"/>
    </row>
    <row r="1891" spans="5:11" x14ac:dyDescent="0.2">
      <c r="E1891" s="93"/>
      <c r="K1891" s="93"/>
    </row>
    <row r="1892" spans="5:11" x14ac:dyDescent="0.2">
      <c r="E1892" s="93"/>
      <c r="K1892" s="93"/>
    </row>
    <row r="1893" spans="5:11" x14ac:dyDescent="0.2">
      <c r="K1893" s="93"/>
    </row>
    <row r="1894" spans="5:11" x14ac:dyDescent="0.2">
      <c r="K1894" s="93"/>
    </row>
    <row r="1895" spans="5:11" x14ac:dyDescent="0.2">
      <c r="K1895" s="93"/>
    </row>
    <row r="1896" spans="5:11" x14ac:dyDescent="0.2">
      <c r="E1896" s="93"/>
      <c r="K1896" s="93"/>
    </row>
    <row r="1897" spans="5:11" x14ac:dyDescent="0.2">
      <c r="E1897" s="93"/>
      <c r="K1897" s="93"/>
    </row>
    <row r="1898" spans="5:11" x14ac:dyDescent="0.2">
      <c r="E1898" s="93"/>
      <c r="K1898" s="93"/>
    </row>
    <row r="1899" spans="5:11" x14ac:dyDescent="0.2">
      <c r="E1899" s="93"/>
      <c r="K1899" s="93"/>
    </row>
    <row r="1900" spans="5:11" x14ac:dyDescent="0.2">
      <c r="E1900" s="93"/>
      <c r="K1900" s="93"/>
    </row>
    <row r="1901" spans="5:11" x14ac:dyDescent="0.2">
      <c r="E1901" s="93"/>
      <c r="K1901" s="93"/>
    </row>
    <row r="1902" spans="5:11" x14ac:dyDescent="0.2">
      <c r="K1902" s="93"/>
    </row>
    <row r="1903" spans="5:11" x14ac:dyDescent="0.2">
      <c r="K1903" s="93"/>
    </row>
    <row r="1904" spans="5:11" x14ac:dyDescent="0.2">
      <c r="K1904" s="93"/>
    </row>
    <row r="1905" spans="5:11" x14ac:dyDescent="0.2">
      <c r="K1905" s="93"/>
    </row>
    <row r="1906" spans="5:11" x14ac:dyDescent="0.2">
      <c r="E1906" s="93"/>
      <c r="K1906" s="93"/>
    </row>
    <row r="1907" spans="5:11" x14ac:dyDescent="0.2">
      <c r="E1907" s="93"/>
      <c r="K1907" s="93"/>
    </row>
    <row r="1908" spans="5:11" x14ac:dyDescent="0.2">
      <c r="E1908" s="93"/>
      <c r="K1908" s="93"/>
    </row>
    <row r="1909" spans="5:11" x14ac:dyDescent="0.2">
      <c r="E1909" s="93"/>
      <c r="K1909" s="93"/>
    </row>
    <row r="1910" spans="5:11" x14ac:dyDescent="0.2">
      <c r="K1910" s="93"/>
    </row>
    <row r="1911" spans="5:11" x14ac:dyDescent="0.2">
      <c r="K1911" s="93"/>
    </row>
    <row r="1912" spans="5:11" x14ac:dyDescent="0.2">
      <c r="E1912" s="93"/>
      <c r="K1912" s="93"/>
    </row>
    <row r="1913" spans="5:11" x14ac:dyDescent="0.2">
      <c r="K1913" s="93"/>
    </row>
    <row r="1914" spans="5:11" x14ac:dyDescent="0.2">
      <c r="E1914" s="93"/>
      <c r="K1914" s="93"/>
    </row>
    <row r="1915" spans="5:11" x14ac:dyDescent="0.2">
      <c r="E1915" s="93"/>
      <c r="K1915" s="93"/>
    </row>
    <row r="1916" spans="5:11" x14ac:dyDescent="0.2">
      <c r="K1916" s="93"/>
    </row>
    <row r="1917" spans="5:11" x14ac:dyDescent="0.2">
      <c r="E1917" s="93"/>
      <c r="K1917" s="93"/>
    </row>
    <row r="1918" spans="5:11" x14ac:dyDescent="0.2">
      <c r="K1918" s="93"/>
    </row>
    <row r="1919" spans="5:11" x14ac:dyDescent="0.2">
      <c r="K1919" s="93"/>
    </row>
    <row r="1920" spans="5:11" x14ac:dyDescent="0.2">
      <c r="E1920" s="93"/>
      <c r="K1920" s="93"/>
    </row>
    <row r="1921" spans="5:11" x14ac:dyDescent="0.2">
      <c r="K1921" s="93"/>
    </row>
    <row r="1922" spans="5:11" x14ac:dyDescent="0.2">
      <c r="E1922" s="93"/>
      <c r="K1922" s="93"/>
    </row>
    <row r="1923" spans="5:11" x14ac:dyDescent="0.2">
      <c r="K1923" s="93"/>
    </row>
    <row r="1924" spans="5:11" x14ac:dyDescent="0.2">
      <c r="K1924" s="93"/>
    </row>
    <row r="1925" spans="5:11" x14ac:dyDescent="0.2">
      <c r="E1925" s="93"/>
      <c r="K1925" s="93"/>
    </row>
    <row r="1926" spans="5:11" x14ac:dyDescent="0.2">
      <c r="E1926" s="93"/>
      <c r="K1926" s="93"/>
    </row>
    <row r="1927" spans="5:11" x14ac:dyDescent="0.2">
      <c r="K1927" s="93"/>
    </row>
    <row r="1928" spans="5:11" x14ac:dyDescent="0.2">
      <c r="E1928" s="93"/>
      <c r="K1928" s="93"/>
    </row>
    <row r="1929" spans="5:11" x14ac:dyDescent="0.2">
      <c r="K1929" s="93"/>
    </row>
    <row r="1930" spans="5:11" x14ac:dyDescent="0.2">
      <c r="E1930" s="93"/>
      <c r="K1930" s="93"/>
    </row>
    <row r="1931" spans="5:11" x14ac:dyDescent="0.2">
      <c r="K1931" s="93"/>
    </row>
    <row r="1932" spans="5:11" x14ac:dyDescent="0.2">
      <c r="E1932" s="93"/>
      <c r="K1932" s="93"/>
    </row>
    <row r="1933" spans="5:11" x14ac:dyDescent="0.2">
      <c r="K1933" s="93"/>
    </row>
    <row r="1934" spans="5:11" x14ac:dyDescent="0.2">
      <c r="K1934" s="93"/>
    </row>
    <row r="1935" spans="5:11" x14ac:dyDescent="0.2">
      <c r="E1935" s="93"/>
      <c r="K1935" s="93"/>
    </row>
    <row r="1936" spans="5:11" x14ac:dyDescent="0.2">
      <c r="E1936" s="93"/>
      <c r="K1936" s="93"/>
    </row>
    <row r="1937" spans="5:11" x14ac:dyDescent="0.2">
      <c r="E1937" s="93"/>
      <c r="K1937" s="93"/>
    </row>
    <row r="1938" spans="5:11" x14ac:dyDescent="0.2">
      <c r="E1938" s="93"/>
      <c r="K1938" s="93"/>
    </row>
    <row r="1939" spans="5:11" x14ac:dyDescent="0.2">
      <c r="K1939" s="93"/>
    </row>
    <row r="1940" spans="5:11" x14ac:dyDescent="0.2">
      <c r="K1940" s="93"/>
    </row>
    <row r="1941" spans="5:11" x14ac:dyDescent="0.2">
      <c r="E1941" s="93"/>
      <c r="K1941" s="93"/>
    </row>
    <row r="1942" spans="5:11" x14ac:dyDescent="0.2">
      <c r="E1942" s="93"/>
      <c r="K1942" s="93"/>
    </row>
    <row r="1943" spans="5:11" x14ac:dyDescent="0.2">
      <c r="E1943" s="93"/>
      <c r="K1943" s="93"/>
    </row>
    <row r="1944" spans="5:11" x14ac:dyDescent="0.2">
      <c r="E1944" s="93"/>
      <c r="K1944" s="93"/>
    </row>
    <row r="1945" spans="5:11" x14ac:dyDescent="0.2">
      <c r="K1945" s="93"/>
    </row>
    <row r="1946" spans="5:11" x14ac:dyDescent="0.2">
      <c r="E1946" s="93"/>
      <c r="K1946" s="93"/>
    </row>
    <row r="1947" spans="5:11" x14ac:dyDescent="0.2">
      <c r="K1947" s="93"/>
    </row>
    <row r="1948" spans="5:11" x14ac:dyDescent="0.2">
      <c r="E1948" s="93"/>
      <c r="K1948" s="93"/>
    </row>
    <row r="1949" spans="5:11" x14ac:dyDescent="0.2">
      <c r="E1949" s="93"/>
      <c r="K1949" s="93"/>
    </row>
    <row r="1950" spans="5:11" x14ac:dyDescent="0.2">
      <c r="K1950" s="93"/>
    </row>
    <row r="1951" spans="5:11" x14ac:dyDescent="0.2">
      <c r="E1951" s="93"/>
      <c r="K1951" s="93"/>
    </row>
    <row r="1952" spans="5:11" x14ac:dyDescent="0.2">
      <c r="E1952" s="93"/>
      <c r="K1952" s="93"/>
    </row>
    <row r="1953" spans="5:11" x14ac:dyDescent="0.2">
      <c r="E1953" s="93"/>
      <c r="K1953" s="93"/>
    </row>
    <row r="1954" spans="5:11" x14ac:dyDescent="0.2">
      <c r="E1954" s="93"/>
      <c r="K1954" s="93"/>
    </row>
    <row r="1955" spans="5:11" x14ac:dyDescent="0.2">
      <c r="K1955" s="93"/>
    </row>
    <row r="1956" spans="5:11" x14ac:dyDescent="0.2">
      <c r="K1956" s="93"/>
    </row>
    <row r="1957" spans="5:11" x14ac:dyDescent="0.2">
      <c r="K1957" s="93"/>
    </row>
    <row r="1958" spans="5:11" x14ac:dyDescent="0.2">
      <c r="E1958" s="93"/>
      <c r="K1958" s="93"/>
    </row>
    <row r="1959" spans="5:11" x14ac:dyDescent="0.2">
      <c r="E1959" s="93"/>
      <c r="K1959" s="93"/>
    </row>
    <row r="1960" spans="5:11" x14ac:dyDescent="0.2">
      <c r="E1960" s="93"/>
      <c r="K1960" s="93"/>
    </row>
    <row r="1961" spans="5:11" x14ac:dyDescent="0.2">
      <c r="E1961" s="93"/>
      <c r="K1961" s="93"/>
    </row>
    <row r="1962" spans="5:11" x14ac:dyDescent="0.2">
      <c r="K1962" s="93"/>
    </row>
    <row r="1963" spans="5:11" x14ac:dyDescent="0.2">
      <c r="E1963" s="93"/>
      <c r="K1963" s="93"/>
    </row>
    <row r="1964" spans="5:11" x14ac:dyDescent="0.2">
      <c r="E1964" s="93"/>
      <c r="K1964" s="93"/>
    </row>
    <row r="1965" spans="5:11" x14ac:dyDescent="0.2">
      <c r="E1965" s="93"/>
      <c r="K1965" s="93"/>
    </row>
    <row r="1966" spans="5:11" x14ac:dyDescent="0.2">
      <c r="K1966" s="93"/>
    </row>
    <row r="1967" spans="5:11" x14ac:dyDescent="0.2">
      <c r="E1967" s="93"/>
      <c r="K1967" s="93"/>
    </row>
    <row r="1968" spans="5:11" x14ac:dyDescent="0.2">
      <c r="E1968" s="93"/>
      <c r="K1968" s="93"/>
    </row>
    <row r="1969" spans="5:11" x14ac:dyDescent="0.2">
      <c r="K1969" s="93"/>
    </row>
    <row r="1970" spans="5:11" x14ac:dyDescent="0.2">
      <c r="K1970" s="93"/>
    </row>
    <row r="1971" spans="5:11" x14ac:dyDescent="0.2">
      <c r="K1971" s="93"/>
    </row>
    <row r="1972" spans="5:11" x14ac:dyDescent="0.2">
      <c r="K1972" s="93"/>
    </row>
    <row r="1973" spans="5:11" x14ac:dyDescent="0.2">
      <c r="E1973" s="93"/>
      <c r="K1973" s="93"/>
    </row>
    <row r="1974" spans="5:11" x14ac:dyDescent="0.2">
      <c r="E1974" s="93"/>
      <c r="K1974" s="93"/>
    </row>
    <row r="1975" spans="5:11" x14ac:dyDescent="0.2">
      <c r="K1975" s="93"/>
    </row>
    <row r="1976" spans="5:11" x14ac:dyDescent="0.2">
      <c r="E1976" s="93"/>
      <c r="K1976" s="93"/>
    </row>
    <row r="1977" spans="5:11" x14ac:dyDescent="0.2">
      <c r="K1977" s="93"/>
    </row>
    <row r="1978" spans="5:11" x14ac:dyDescent="0.2">
      <c r="K1978" s="93"/>
    </row>
    <row r="1979" spans="5:11" x14ac:dyDescent="0.2">
      <c r="K1979" s="93"/>
    </row>
    <row r="1980" spans="5:11" x14ac:dyDescent="0.2">
      <c r="E1980" s="93"/>
      <c r="K1980" s="93"/>
    </row>
    <row r="1981" spans="5:11" x14ac:dyDescent="0.2">
      <c r="K1981" s="93"/>
    </row>
    <row r="1982" spans="5:11" x14ac:dyDescent="0.2">
      <c r="E1982" s="93"/>
      <c r="K1982" s="93"/>
    </row>
    <row r="1983" spans="5:11" x14ac:dyDescent="0.2">
      <c r="E1983" s="93"/>
      <c r="K1983" s="93"/>
    </row>
    <row r="1984" spans="5:11" x14ac:dyDescent="0.2">
      <c r="E1984" s="93"/>
      <c r="K1984" s="93"/>
    </row>
    <row r="1985" spans="5:11" x14ac:dyDescent="0.2">
      <c r="K1985" s="93"/>
    </row>
    <row r="1986" spans="5:11" x14ac:dyDescent="0.2">
      <c r="E1986" s="93"/>
      <c r="K1986" s="93"/>
    </row>
    <row r="1987" spans="5:11" x14ac:dyDescent="0.2">
      <c r="K1987" s="93"/>
    </row>
    <row r="1988" spans="5:11" x14ac:dyDescent="0.2">
      <c r="E1988" s="93"/>
      <c r="K1988" s="93"/>
    </row>
    <row r="1989" spans="5:11" x14ac:dyDescent="0.2">
      <c r="K1989" s="93"/>
    </row>
    <row r="1990" spans="5:11" x14ac:dyDescent="0.2">
      <c r="K1990" s="93"/>
    </row>
    <row r="1991" spans="5:11" x14ac:dyDescent="0.2">
      <c r="K1991" s="93"/>
    </row>
    <row r="1992" spans="5:11" x14ac:dyDescent="0.2">
      <c r="K1992" s="93"/>
    </row>
    <row r="1993" spans="5:11" x14ac:dyDescent="0.2">
      <c r="E1993" s="93"/>
      <c r="K1993" s="93"/>
    </row>
    <row r="1994" spans="5:11" x14ac:dyDescent="0.2">
      <c r="E1994" s="93"/>
      <c r="K1994" s="93"/>
    </row>
    <row r="1995" spans="5:11" x14ac:dyDescent="0.2">
      <c r="E1995" s="93"/>
      <c r="K1995" s="93"/>
    </row>
    <row r="1996" spans="5:11" x14ac:dyDescent="0.2">
      <c r="E1996" s="93"/>
      <c r="K1996" s="93"/>
    </row>
    <row r="1997" spans="5:11" x14ac:dyDescent="0.2">
      <c r="E1997" s="93"/>
      <c r="K1997" s="93"/>
    </row>
    <row r="1998" spans="5:11" x14ac:dyDescent="0.2">
      <c r="E1998" s="93"/>
      <c r="K1998" s="93"/>
    </row>
    <row r="1999" spans="5:11" x14ac:dyDescent="0.2">
      <c r="K1999" s="93"/>
    </row>
    <row r="2000" spans="5:11" x14ac:dyDescent="0.2">
      <c r="E2000" s="93"/>
      <c r="K2000" s="93"/>
    </row>
    <row r="2001" spans="5:11" x14ac:dyDescent="0.2">
      <c r="K2001" s="93"/>
    </row>
    <row r="2002" spans="5:11" x14ac:dyDescent="0.2">
      <c r="E2002" s="93"/>
      <c r="K2002" s="93"/>
    </row>
    <row r="2003" spans="5:11" x14ac:dyDescent="0.2">
      <c r="K2003" s="93"/>
    </row>
    <row r="2004" spans="5:11" x14ac:dyDescent="0.2">
      <c r="K2004" s="93"/>
    </row>
    <row r="2005" spans="5:11" x14ac:dyDescent="0.2">
      <c r="K2005" s="93"/>
    </row>
    <row r="2006" spans="5:11" x14ac:dyDescent="0.2">
      <c r="K2006" s="93"/>
    </row>
    <row r="2007" spans="5:11" x14ac:dyDescent="0.2">
      <c r="K2007" s="93"/>
    </row>
    <row r="2008" spans="5:11" x14ac:dyDescent="0.2">
      <c r="E2008" s="93"/>
      <c r="K2008" s="93"/>
    </row>
    <row r="2009" spans="5:11" x14ac:dyDescent="0.2">
      <c r="K2009" s="93"/>
    </row>
    <row r="2010" spans="5:11" x14ac:dyDescent="0.2">
      <c r="E2010" s="93"/>
      <c r="K2010" s="93"/>
    </row>
    <row r="2011" spans="5:11" x14ac:dyDescent="0.2">
      <c r="E2011" s="93"/>
      <c r="K2011" s="93"/>
    </row>
    <row r="2012" spans="5:11" x14ac:dyDescent="0.2">
      <c r="E2012" s="93"/>
      <c r="K2012" s="93"/>
    </row>
    <row r="2013" spans="5:11" x14ac:dyDescent="0.2">
      <c r="K2013" s="93"/>
    </row>
    <row r="2014" spans="5:11" x14ac:dyDescent="0.2">
      <c r="E2014" s="93"/>
      <c r="K2014" s="93"/>
    </row>
    <row r="2015" spans="5:11" x14ac:dyDescent="0.2">
      <c r="E2015" s="93"/>
      <c r="K2015" s="93"/>
    </row>
    <row r="2016" spans="5:11" x14ac:dyDescent="0.2">
      <c r="E2016" s="93"/>
      <c r="K2016" s="93"/>
    </row>
    <row r="2017" spans="5:11" x14ac:dyDescent="0.2">
      <c r="K2017" s="93"/>
    </row>
    <row r="2018" spans="5:11" x14ac:dyDescent="0.2">
      <c r="E2018" s="93"/>
      <c r="K2018" s="93"/>
    </row>
    <row r="2019" spans="5:11" x14ac:dyDescent="0.2">
      <c r="E2019" s="93"/>
      <c r="K2019" s="93"/>
    </row>
    <row r="2020" spans="5:11" x14ac:dyDescent="0.2">
      <c r="K2020" s="93"/>
    </row>
    <row r="2021" spans="5:11" x14ac:dyDescent="0.2">
      <c r="E2021" s="93"/>
      <c r="K2021" s="93"/>
    </row>
    <row r="2022" spans="5:11" x14ac:dyDescent="0.2">
      <c r="E2022" s="93"/>
      <c r="K2022" s="93"/>
    </row>
    <row r="2023" spans="5:11" x14ac:dyDescent="0.2">
      <c r="K2023" s="93"/>
    </row>
    <row r="2024" spans="5:11" x14ac:dyDescent="0.2">
      <c r="E2024" s="93"/>
      <c r="K2024" s="93"/>
    </row>
    <row r="2025" spans="5:11" x14ac:dyDescent="0.2">
      <c r="K2025" s="93"/>
    </row>
    <row r="2026" spans="5:11" x14ac:dyDescent="0.2">
      <c r="E2026" s="93"/>
      <c r="K2026" s="93"/>
    </row>
    <row r="2027" spans="5:11" x14ac:dyDescent="0.2">
      <c r="K2027" s="93"/>
    </row>
    <row r="2028" spans="5:11" x14ac:dyDescent="0.2">
      <c r="K2028" s="93"/>
    </row>
    <row r="2029" spans="5:11" x14ac:dyDescent="0.2">
      <c r="K2029" s="93"/>
    </row>
    <row r="2030" spans="5:11" x14ac:dyDescent="0.2">
      <c r="K2030" s="93"/>
    </row>
    <row r="2031" spans="5:11" x14ac:dyDescent="0.2">
      <c r="E2031" s="93"/>
      <c r="K2031" s="93"/>
    </row>
    <row r="2032" spans="5:11" x14ac:dyDescent="0.2">
      <c r="K2032" s="93"/>
    </row>
    <row r="2033" spans="5:11" x14ac:dyDescent="0.2">
      <c r="E2033" s="93"/>
      <c r="K2033" s="93"/>
    </row>
    <row r="2034" spans="5:11" x14ac:dyDescent="0.2">
      <c r="K2034" s="93"/>
    </row>
    <row r="2035" spans="5:11" x14ac:dyDescent="0.2">
      <c r="K2035" s="93"/>
    </row>
    <row r="2036" spans="5:11" x14ac:dyDescent="0.2">
      <c r="K2036" s="93"/>
    </row>
    <row r="2037" spans="5:11" x14ac:dyDescent="0.2">
      <c r="E2037" s="93"/>
      <c r="K2037" s="93"/>
    </row>
    <row r="2038" spans="5:11" x14ac:dyDescent="0.2">
      <c r="K2038" s="93"/>
    </row>
    <row r="2039" spans="5:11" x14ac:dyDescent="0.2">
      <c r="E2039" s="93"/>
      <c r="K2039" s="93"/>
    </row>
    <row r="2040" spans="5:11" x14ac:dyDescent="0.2">
      <c r="K2040" s="93"/>
    </row>
    <row r="2041" spans="5:11" x14ac:dyDescent="0.2">
      <c r="E2041" s="93"/>
      <c r="K2041" s="93"/>
    </row>
    <row r="2042" spans="5:11" x14ac:dyDescent="0.2">
      <c r="E2042" s="93"/>
      <c r="K2042" s="93"/>
    </row>
    <row r="2043" spans="5:11" x14ac:dyDescent="0.2">
      <c r="K2043" s="93"/>
    </row>
    <row r="2044" spans="5:11" x14ac:dyDescent="0.2">
      <c r="K2044" s="93"/>
    </row>
    <row r="2045" spans="5:11" x14ac:dyDescent="0.2">
      <c r="K2045" s="93"/>
    </row>
    <row r="2046" spans="5:11" x14ac:dyDescent="0.2">
      <c r="K2046" s="93"/>
    </row>
    <row r="2047" spans="5:11" x14ac:dyDescent="0.2">
      <c r="K2047" s="93"/>
    </row>
    <row r="2048" spans="5:11" x14ac:dyDescent="0.2">
      <c r="E2048" s="93"/>
      <c r="K2048" s="93"/>
    </row>
    <row r="2049" spans="5:11" x14ac:dyDescent="0.2">
      <c r="E2049" s="93"/>
      <c r="K2049" s="93"/>
    </row>
    <row r="2050" spans="5:11" x14ac:dyDescent="0.2">
      <c r="E2050" s="93"/>
      <c r="K2050" s="93"/>
    </row>
    <row r="2051" spans="5:11" x14ac:dyDescent="0.2">
      <c r="K2051" s="93"/>
    </row>
    <row r="2052" spans="5:11" x14ac:dyDescent="0.2">
      <c r="E2052" s="93"/>
      <c r="K2052" s="93"/>
    </row>
    <row r="2053" spans="5:11" x14ac:dyDescent="0.2">
      <c r="K2053" s="93"/>
    </row>
    <row r="2054" spans="5:11" x14ac:dyDescent="0.2">
      <c r="E2054" s="93"/>
      <c r="K2054" s="93"/>
    </row>
    <row r="2055" spans="5:11" x14ac:dyDescent="0.2">
      <c r="E2055" s="93"/>
      <c r="K2055" s="93"/>
    </row>
    <row r="2056" spans="5:11" x14ac:dyDescent="0.2">
      <c r="K2056" s="93"/>
    </row>
    <row r="2057" spans="5:11" x14ac:dyDescent="0.2">
      <c r="K2057" s="93"/>
    </row>
    <row r="2058" spans="5:11" x14ac:dyDescent="0.2">
      <c r="K2058" s="93"/>
    </row>
    <row r="2059" spans="5:11" x14ac:dyDescent="0.2">
      <c r="E2059" s="93"/>
      <c r="K2059" s="93"/>
    </row>
    <row r="2060" spans="5:11" x14ac:dyDescent="0.2">
      <c r="E2060" s="93"/>
      <c r="K2060" s="93"/>
    </row>
    <row r="2061" spans="5:11" x14ac:dyDescent="0.2">
      <c r="E2061" s="93"/>
      <c r="K2061" s="93"/>
    </row>
    <row r="2062" spans="5:11" x14ac:dyDescent="0.2">
      <c r="K2062" s="93"/>
    </row>
    <row r="2063" spans="5:11" x14ac:dyDescent="0.2">
      <c r="K2063" s="93"/>
    </row>
    <row r="2064" spans="5:11" x14ac:dyDescent="0.2">
      <c r="E2064" s="93"/>
      <c r="K2064" s="93"/>
    </row>
    <row r="2065" spans="5:11" x14ac:dyDescent="0.2">
      <c r="K2065" s="93"/>
    </row>
    <row r="2066" spans="5:11" x14ac:dyDescent="0.2">
      <c r="E2066" s="93"/>
      <c r="K2066" s="93"/>
    </row>
    <row r="2067" spans="5:11" x14ac:dyDescent="0.2">
      <c r="K2067" s="93"/>
    </row>
    <row r="2068" spans="5:11" x14ac:dyDescent="0.2">
      <c r="K2068" s="93"/>
    </row>
    <row r="2069" spans="5:11" x14ac:dyDescent="0.2">
      <c r="E2069" s="93"/>
      <c r="K2069" s="93"/>
    </row>
    <row r="2070" spans="5:11" x14ac:dyDescent="0.2">
      <c r="E2070" s="93"/>
      <c r="K2070" s="93"/>
    </row>
    <row r="2071" spans="5:11" x14ac:dyDescent="0.2">
      <c r="K2071" s="93"/>
    </row>
    <row r="2072" spans="5:11" x14ac:dyDescent="0.2">
      <c r="K2072" s="93"/>
    </row>
    <row r="2073" spans="5:11" x14ac:dyDescent="0.2">
      <c r="K2073" s="93"/>
    </row>
    <row r="2074" spans="5:11" x14ac:dyDescent="0.2">
      <c r="K2074" s="93"/>
    </row>
    <row r="2075" spans="5:11" x14ac:dyDescent="0.2">
      <c r="E2075" s="93"/>
      <c r="K2075" s="93"/>
    </row>
    <row r="2076" spans="5:11" x14ac:dyDescent="0.2">
      <c r="K2076" s="93"/>
    </row>
    <row r="2077" spans="5:11" x14ac:dyDescent="0.2">
      <c r="K2077" s="93"/>
    </row>
    <row r="2078" spans="5:11" x14ac:dyDescent="0.2">
      <c r="K2078" s="93"/>
    </row>
    <row r="2079" spans="5:11" x14ac:dyDescent="0.2">
      <c r="K2079" s="93"/>
    </row>
    <row r="2080" spans="5:11" x14ac:dyDescent="0.2">
      <c r="E2080" s="93"/>
      <c r="K2080" s="93"/>
    </row>
    <row r="2081" spans="5:11" x14ac:dyDescent="0.2">
      <c r="K2081" s="93"/>
    </row>
    <row r="2082" spans="5:11" x14ac:dyDescent="0.2">
      <c r="K2082" s="93"/>
    </row>
    <row r="2083" spans="5:11" x14ac:dyDescent="0.2">
      <c r="K2083" s="93"/>
    </row>
    <row r="2084" spans="5:11" x14ac:dyDescent="0.2">
      <c r="E2084" s="93"/>
      <c r="K2084" s="93"/>
    </row>
    <row r="2085" spans="5:11" x14ac:dyDescent="0.2">
      <c r="K2085" s="93"/>
    </row>
    <row r="2086" spans="5:11" x14ac:dyDescent="0.2">
      <c r="E2086" s="93"/>
      <c r="K2086" s="93"/>
    </row>
    <row r="2087" spans="5:11" x14ac:dyDescent="0.2">
      <c r="K2087" s="93"/>
    </row>
    <row r="2088" spans="5:11" x14ac:dyDescent="0.2">
      <c r="K2088" s="93"/>
    </row>
    <row r="2089" spans="5:11" x14ac:dyDescent="0.2">
      <c r="E2089" s="93"/>
      <c r="K2089" s="93"/>
    </row>
    <row r="2090" spans="5:11" x14ac:dyDescent="0.2">
      <c r="K2090" s="93"/>
    </row>
    <row r="2091" spans="5:11" x14ac:dyDescent="0.2">
      <c r="E2091" s="93"/>
      <c r="K2091" s="93"/>
    </row>
    <row r="2092" spans="5:11" x14ac:dyDescent="0.2">
      <c r="K2092" s="93"/>
    </row>
    <row r="2093" spans="5:11" x14ac:dyDescent="0.2">
      <c r="K2093" s="93"/>
    </row>
    <row r="2094" spans="5:11" x14ac:dyDescent="0.2">
      <c r="K2094" s="93"/>
    </row>
    <row r="2095" spans="5:11" x14ac:dyDescent="0.2">
      <c r="K2095" s="93"/>
    </row>
    <row r="2096" spans="5:11" x14ac:dyDescent="0.2">
      <c r="E2096" s="93"/>
      <c r="K2096" s="93"/>
    </row>
    <row r="2097" spans="5:11" x14ac:dyDescent="0.2">
      <c r="E2097" s="93"/>
      <c r="K2097" s="93"/>
    </row>
    <row r="2098" spans="5:11" x14ac:dyDescent="0.2">
      <c r="E2098" s="93"/>
      <c r="K2098" s="93"/>
    </row>
    <row r="2099" spans="5:11" x14ac:dyDescent="0.2">
      <c r="K2099" s="93"/>
    </row>
    <row r="2100" spans="5:11" x14ac:dyDescent="0.2">
      <c r="E2100" s="93"/>
      <c r="K2100" s="93"/>
    </row>
    <row r="2101" spans="5:11" x14ac:dyDescent="0.2">
      <c r="K2101" s="93"/>
    </row>
    <row r="2102" spans="5:11" x14ac:dyDescent="0.2">
      <c r="K2102" s="93"/>
    </row>
    <row r="2103" spans="5:11" x14ac:dyDescent="0.2">
      <c r="E2103" s="93"/>
      <c r="K2103" s="93"/>
    </row>
    <row r="2104" spans="5:11" x14ac:dyDescent="0.2">
      <c r="K2104" s="93"/>
    </row>
    <row r="2105" spans="5:11" x14ac:dyDescent="0.2">
      <c r="K2105" s="93"/>
    </row>
    <row r="2106" spans="5:11" x14ac:dyDescent="0.2">
      <c r="E2106" s="93"/>
      <c r="K2106" s="93"/>
    </row>
    <row r="2107" spans="5:11" x14ac:dyDescent="0.2">
      <c r="K2107" s="93"/>
    </row>
    <row r="2108" spans="5:11" x14ac:dyDescent="0.2">
      <c r="K2108" s="93"/>
    </row>
    <row r="2109" spans="5:11" x14ac:dyDescent="0.2">
      <c r="K2109" s="93"/>
    </row>
    <row r="2110" spans="5:11" x14ac:dyDescent="0.2">
      <c r="E2110" s="93"/>
      <c r="K2110" s="93"/>
    </row>
    <row r="2111" spans="5:11" x14ac:dyDescent="0.2">
      <c r="K2111" s="93"/>
    </row>
    <row r="2112" spans="5:11" x14ac:dyDescent="0.2">
      <c r="K2112" s="93"/>
    </row>
    <row r="2113" spans="5:11" x14ac:dyDescent="0.2">
      <c r="K2113" s="93"/>
    </row>
    <row r="2114" spans="5:11" x14ac:dyDescent="0.2">
      <c r="E2114" s="93"/>
      <c r="K2114" s="93"/>
    </row>
    <row r="2115" spans="5:11" x14ac:dyDescent="0.2">
      <c r="E2115" s="93"/>
      <c r="K2115" s="93"/>
    </row>
    <row r="2116" spans="5:11" x14ac:dyDescent="0.2">
      <c r="E2116" s="93"/>
      <c r="K2116" s="93"/>
    </row>
    <row r="2117" spans="5:11" x14ac:dyDescent="0.2">
      <c r="K2117" s="93"/>
    </row>
    <row r="2118" spans="5:11" x14ac:dyDescent="0.2">
      <c r="E2118" s="93"/>
      <c r="K2118" s="93"/>
    </row>
    <row r="2119" spans="5:11" x14ac:dyDescent="0.2">
      <c r="K2119" s="93"/>
    </row>
    <row r="2120" spans="5:11" x14ac:dyDescent="0.2">
      <c r="K2120" s="93"/>
    </row>
    <row r="2121" spans="5:11" x14ac:dyDescent="0.2">
      <c r="K2121" s="93"/>
    </row>
    <row r="2122" spans="5:11" x14ac:dyDescent="0.2">
      <c r="E2122" s="93"/>
      <c r="K2122" s="93"/>
    </row>
    <row r="2123" spans="5:11" x14ac:dyDescent="0.2">
      <c r="K2123" s="93"/>
    </row>
    <row r="2124" spans="5:11" x14ac:dyDescent="0.2">
      <c r="E2124" s="93"/>
      <c r="K2124" s="93"/>
    </row>
    <row r="2125" spans="5:11" x14ac:dyDescent="0.2">
      <c r="E2125" s="93"/>
      <c r="K2125" s="93"/>
    </row>
    <row r="2126" spans="5:11" x14ac:dyDescent="0.2">
      <c r="E2126" s="93"/>
      <c r="K2126" s="93"/>
    </row>
    <row r="2127" spans="5:11" x14ac:dyDescent="0.2">
      <c r="E2127" s="93"/>
      <c r="K2127" s="93"/>
    </row>
    <row r="2128" spans="5:11" x14ac:dyDescent="0.2">
      <c r="E2128" s="93"/>
      <c r="K2128" s="93"/>
    </row>
    <row r="2129" spans="5:11" x14ac:dyDescent="0.2">
      <c r="K2129" s="93"/>
    </row>
    <row r="2130" spans="5:11" x14ac:dyDescent="0.2">
      <c r="K2130" s="93"/>
    </row>
    <row r="2131" spans="5:11" x14ac:dyDescent="0.2">
      <c r="E2131" s="93"/>
      <c r="K2131" s="93"/>
    </row>
    <row r="2132" spans="5:11" x14ac:dyDescent="0.2">
      <c r="E2132" s="93"/>
      <c r="K2132" s="93"/>
    </row>
    <row r="2133" spans="5:11" x14ac:dyDescent="0.2">
      <c r="E2133" s="93"/>
      <c r="K2133" s="93"/>
    </row>
    <row r="2134" spans="5:11" x14ac:dyDescent="0.2">
      <c r="K2134" s="93"/>
    </row>
    <row r="2135" spans="5:11" x14ac:dyDescent="0.2">
      <c r="K2135" s="93"/>
    </row>
    <row r="2136" spans="5:11" x14ac:dyDescent="0.2">
      <c r="E2136" s="93"/>
      <c r="K2136" s="93"/>
    </row>
    <row r="2137" spans="5:11" x14ac:dyDescent="0.2">
      <c r="K2137" s="93"/>
    </row>
    <row r="2138" spans="5:11" x14ac:dyDescent="0.2">
      <c r="E2138" s="93"/>
      <c r="K2138" s="93"/>
    </row>
    <row r="2139" spans="5:11" x14ac:dyDescent="0.2">
      <c r="E2139" s="93"/>
      <c r="K2139" s="93"/>
    </row>
    <row r="2140" spans="5:11" x14ac:dyDescent="0.2">
      <c r="K2140" s="93"/>
    </row>
    <row r="2141" spans="5:11" x14ac:dyDescent="0.2">
      <c r="E2141" s="93"/>
      <c r="K2141" s="93"/>
    </row>
    <row r="2142" spans="5:11" x14ac:dyDescent="0.2">
      <c r="K2142" s="93"/>
    </row>
    <row r="2143" spans="5:11" x14ac:dyDescent="0.2">
      <c r="E2143" s="93"/>
      <c r="K2143" s="93"/>
    </row>
    <row r="2144" spans="5:11" x14ac:dyDescent="0.2">
      <c r="K2144" s="93"/>
    </row>
    <row r="2145" spans="5:11" x14ac:dyDescent="0.2">
      <c r="E2145" s="93"/>
      <c r="K2145" s="93"/>
    </row>
    <row r="2146" spans="5:11" x14ac:dyDescent="0.2">
      <c r="K2146" s="93"/>
    </row>
    <row r="2147" spans="5:11" x14ac:dyDescent="0.2">
      <c r="E2147" s="93"/>
      <c r="K2147" s="93"/>
    </row>
    <row r="2148" spans="5:11" x14ac:dyDescent="0.2">
      <c r="K2148" s="93"/>
    </row>
    <row r="2149" spans="5:11" x14ac:dyDescent="0.2">
      <c r="E2149" s="93"/>
      <c r="K2149" s="93"/>
    </row>
    <row r="2150" spans="5:11" x14ac:dyDescent="0.2">
      <c r="E2150" s="93"/>
      <c r="K2150" s="93"/>
    </row>
    <row r="2151" spans="5:11" x14ac:dyDescent="0.2">
      <c r="E2151" s="93"/>
      <c r="K2151" s="93"/>
    </row>
    <row r="2152" spans="5:11" x14ac:dyDescent="0.2">
      <c r="E2152" s="93"/>
      <c r="K2152" s="93"/>
    </row>
    <row r="2153" spans="5:11" x14ac:dyDescent="0.2">
      <c r="E2153" s="93"/>
      <c r="K2153" s="93"/>
    </row>
    <row r="2154" spans="5:11" x14ac:dyDescent="0.2">
      <c r="K2154" s="93"/>
    </row>
    <row r="2155" spans="5:11" x14ac:dyDescent="0.2">
      <c r="E2155" s="93"/>
      <c r="K2155" s="93"/>
    </row>
    <row r="2156" spans="5:11" x14ac:dyDescent="0.2">
      <c r="K2156" s="93"/>
    </row>
    <row r="2157" spans="5:11" x14ac:dyDescent="0.2">
      <c r="E2157" s="93"/>
      <c r="K2157" s="93"/>
    </row>
    <row r="2158" spans="5:11" x14ac:dyDescent="0.2">
      <c r="K2158" s="93"/>
    </row>
    <row r="2159" spans="5:11" x14ac:dyDescent="0.2">
      <c r="E2159" s="93"/>
      <c r="K2159" s="93"/>
    </row>
    <row r="2160" spans="5:11" x14ac:dyDescent="0.2">
      <c r="E2160" s="93"/>
      <c r="K2160" s="93"/>
    </row>
    <row r="2161" spans="5:11" x14ac:dyDescent="0.2">
      <c r="E2161" s="93"/>
      <c r="K2161" s="93"/>
    </row>
    <row r="2162" spans="5:11" x14ac:dyDescent="0.2">
      <c r="E2162" s="93"/>
      <c r="K2162" s="93"/>
    </row>
    <row r="2163" spans="5:11" x14ac:dyDescent="0.2">
      <c r="E2163" s="93"/>
      <c r="K2163" s="93"/>
    </row>
    <row r="2164" spans="5:11" x14ac:dyDescent="0.2">
      <c r="K2164" s="93"/>
    </row>
    <row r="2165" spans="5:11" x14ac:dyDescent="0.2">
      <c r="E2165" s="93"/>
      <c r="K2165" s="93"/>
    </row>
    <row r="2166" spans="5:11" x14ac:dyDescent="0.2">
      <c r="E2166" s="93"/>
      <c r="K2166" s="93"/>
    </row>
    <row r="2167" spans="5:11" x14ac:dyDescent="0.2">
      <c r="K2167" s="93"/>
    </row>
    <row r="2168" spans="5:11" x14ac:dyDescent="0.2">
      <c r="K2168" s="93"/>
    </row>
    <row r="2169" spans="5:11" x14ac:dyDescent="0.2">
      <c r="K2169" s="93"/>
    </row>
    <row r="2170" spans="5:11" x14ac:dyDescent="0.2">
      <c r="K2170" s="93"/>
    </row>
    <row r="2171" spans="5:11" x14ac:dyDescent="0.2">
      <c r="E2171" s="93"/>
      <c r="K2171" s="93"/>
    </row>
    <row r="2172" spans="5:11" x14ac:dyDescent="0.2">
      <c r="E2172" s="93"/>
      <c r="K2172" s="93"/>
    </row>
    <row r="2173" spans="5:11" x14ac:dyDescent="0.2">
      <c r="K2173" s="93"/>
    </row>
    <row r="2174" spans="5:11" x14ac:dyDescent="0.2">
      <c r="K2174" s="93"/>
    </row>
    <row r="2175" spans="5:11" x14ac:dyDescent="0.2">
      <c r="E2175" s="93"/>
      <c r="K2175" s="93"/>
    </row>
    <row r="2176" spans="5:11" x14ac:dyDescent="0.2">
      <c r="E2176" s="93"/>
      <c r="K2176" s="93"/>
    </row>
    <row r="2177" spans="5:11" x14ac:dyDescent="0.2">
      <c r="E2177" s="93"/>
      <c r="K2177" s="93"/>
    </row>
    <row r="2178" spans="5:11" x14ac:dyDescent="0.2">
      <c r="K2178" s="93"/>
    </row>
    <row r="2179" spans="5:11" x14ac:dyDescent="0.2">
      <c r="K2179" s="93"/>
    </row>
    <row r="2180" spans="5:11" x14ac:dyDescent="0.2">
      <c r="E2180" s="93"/>
      <c r="K2180" s="93"/>
    </row>
    <row r="2181" spans="5:11" x14ac:dyDescent="0.2">
      <c r="K2181" s="93"/>
    </row>
    <row r="2182" spans="5:11" x14ac:dyDescent="0.2">
      <c r="K2182" s="93"/>
    </row>
    <row r="2183" spans="5:11" x14ac:dyDescent="0.2">
      <c r="E2183" s="93"/>
      <c r="K2183" s="93"/>
    </row>
    <row r="2184" spans="5:11" x14ac:dyDescent="0.2">
      <c r="E2184" s="93"/>
      <c r="K2184" s="93"/>
    </row>
    <row r="2185" spans="5:11" x14ac:dyDescent="0.2">
      <c r="K2185" s="93"/>
    </row>
    <row r="2186" spans="5:11" x14ac:dyDescent="0.2">
      <c r="K2186" s="93"/>
    </row>
    <row r="2187" spans="5:11" x14ac:dyDescent="0.2">
      <c r="E2187" s="93"/>
      <c r="K2187" s="93"/>
    </row>
    <row r="2188" spans="5:11" x14ac:dyDescent="0.2">
      <c r="E2188" s="93"/>
      <c r="K2188" s="93"/>
    </row>
    <row r="2189" spans="5:11" x14ac:dyDescent="0.2">
      <c r="E2189" s="93"/>
      <c r="K2189" s="93"/>
    </row>
    <row r="2190" spans="5:11" x14ac:dyDescent="0.2">
      <c r="E2190" s="93"/>
      <c r="K2190" s="93"/>
    </row>
    <row r="2191" spans="5:11" x14ac:dyDescent="0.2">
      <c r="E2191" s="93"/>
      <c r="K2191" s="93"/>
    </row>
    <row r="2192" spans="5:11" x14ac:dyDescent="0.2">
      <c r="E2192" s="93"/>
      <c r="K2192" s="93"/>
    </row>
    <row r="2193" spans="5:11" x14ac:dyDescent="0.2">
      <c r="E2193" s="93"/>
      <c r="K2193" s="93"/>
    </row>
    <row r="2194" spans="5:11" x14ac:dyDescent="0.2">
      <c r="K2194" s="93"/>
    </row>
    <row r="2195" spans="5:11" x14ac:dyDescent="0.2">
      <c r="E2195" s="93"/>
      <c r="K2195" s="93"/>
    </row>
    <row r="2196" spans="5:11" x14ac:dyDescent="0.2">
      <c r="E2196" s="93"/>
      <c r="K2196" s="93"/>
    </row>
    <row r="2197" spans="5:11" x14ac:dyDescent="0.2">
      <c r="K2197" s="93"/>
    </row>
    <row r="2198" spans="5:11" x14ac:dyDescent="0.2">
      <c r="E2198" s="93"/>
      <c r="K2198" s="93"/>
    </row>
    <row r="2199" spans="5:11" x14ac:dyDescent="0.2">
      <c r="E2199" s="93"/>
      <c r="K2199" s="93"/>
    </row>
    <row r="2200" spans="5:11" x14ac:dyDescent="0.2">
      <c r="K2200" s="93"/>
    </row>
    <row r="2201" spans="5:11" x14ac:dyDescent="0.2">
      <c r="E2201" s="93"/>
      <c r="K2201" s="93"/>
    </row>
    <row r="2202" spans="5:11" x14ac:dyDescent="0.2">
      <c r="E2202" s="93"/>
      <c r="K2202" s="93"/>
    </row>
    <row r="2203" spans="5:11" x14ac:dyDescent="0.2">
      <c r="E2203" s="93"/>
      <c r="K2203" s="93"/>
    </row>
    <row r="2204" spans="5:11" x14ac:dyDescent="0.2">
      <c r="K2204" s="93"/>
    </row>
    <row r="2205" spans="5:11" x14ac:dyDescent="0.2">
      <c r="E2205" s="93"/>
      <c r="K2205" s="93"/>
    </row>
    <row r="2206" spans="5:11" x14ac:dyDescent="0.2">
      <c r="K2206" s="93"/>
    </row>
    <row r="2207" spans="5:11" x14ac:dyDescent="0.2">
      <c r="K2207" s="93"/>
    </row>
    <row r="2208" spans="5:11" x14ac:dyDescent="0.2">
      <c r="E2208" s="93"/>
      <c r="K2208" s="93"/>
    </row>
    <row r="2209" spans="5:11" x14ac:dyDescent="0.2">
      <c r="E2209" s="93"/>
      <c r="K2209" s="93"/>
    </row>
    <row r="2210" spans="5:11" x14ac:dyDescent="0.2">
      <c r="E2210" s="93"/>
      <c r="K2210" s="93"/>
    </row>
    <row r="2211" spans="5:11" x14ac:dyDescent="0.2">
      <c r="E2211" s="93"/>
      <c r="K2211" s="93"/>
    </row>
    <row r="2212" spans="5:11" x14ac:dyDescent="0.2">
      <c r="K2212" s="93"/>
    </row>
    <row r="2213" spans="5:11" x14ac:dyDescent="0.2">
      <c r="K2213" s="93"/>
    </row>
    <row r="2214" spans="5:11" x14ac:dyDescent="0.2">
      <c r="E2214" s="93"/>
      <c r="K2214" s="93"/>
    </row>
    <row r="2215" spans="5:11" x14ac:dyDescent="0.2">
      <c r="E2215" s="93"/>
      <c r="K2215" s="93"/>
    </row>
    <row r="2216" spans="5:11" x14ac:dyDescent="0.2">
      <c r="K2216" s="93"/>
    </row>
    <row r="2217" spans="5:11" x14ac:dyDescent="0.2">
      <c r="K2217" s="93"/>
    </row>
    <row r="2218" spans="5:11" x14ac:dyDescent="0.2">
      <c r="E2218" s="93"/>
      <c r="K2218" s="93"/>
    </row>
    <row r="2219" spans="5:11" x14ac:dyDescent="0.2">
      <c r="K2219" s="93"/>
    </row>
    <row r="2220" spans="5:11" x14ac:dyDescent="0.2">
      <c r="E2220" s="93"/>
      <c r="K2220" s="93"/>
    </row>
    <row r="2221" spans="5:11" x14ac:dyDescent="0.2">
      <c r="K2221" s="93"/>
    </row>
    <row r="2222" spans="5:11" x14ac:dyDescent="0.2">
      <c r="K2222" s="93"/>
    </row>
    <row r="2223" spans="5:11" x14ac:dyDescent="0.2">
      <c r="K2223" s="93"/>
    </row>
    <row r="2224" spans="5:11" x14ac:dyDescent="0.2">
      <c r="E2224" s="93"/>
      <c r="K2224" s="93"/>
    </row>
    <row r="2225" spans="5:11" x14ac:dyDescent="0.2">
      <c r="K2225" s="93"/>
    </row>
    <row r="2226" spans="5:11" x14ac:dyDescent="0.2">
      <c r="E2226" s="93"/>
      <c r="K2226" s="93"/>
    </row>
    <row r="2227" spans="5:11" x14ac:dyDescent="0.2">
      <c r="E2227" s="93"/>
      <c r="K2227" s="93"/>
    </row>
    <row r="2228" spans="5:11" x14ac:dyDescent="0.2">
      <c r="K2228" s="93"/>
    </row>
    <row r="2229" spans="5:11" x14ac:dyDescent="0.2">
      <c r="K2229" s="93"/>
    </row>
    <row r="2230" spans="5:11" x14ac:dyDescent="0.2">
      <c r="E2230" s="93"/>
      <c r="K2230" s="93"/>
    </row>
    <row r="2231" spans="5:11" x14ac:dyDescent="0.2">
      <c r="E2231" s="93"/>
      <c r="K2231" s="93"/>
    </row>
    <row r="2232" spans="5:11" x14ac:dyDescent="0.2">
      <c r="K2232" s="93"/>
    </row>
    <row r="2233" spans="5:11" x14ac:dyDescent="0.2">
      <c r="K2233" s="93"/>
    </row>
    <row r="2234" spans="5:11" x14ac:dyDescent="0.2">
      <c r="E2234" s="93"/>
      <c r="K2234" s="93"/>
    </row>
    <row r="2235" spans="5:11" x14ac:dyDescent="0.2">
      <c r="E2235" s="93"/>
      <c r="K2235" s="93"/>
    </row>
    <row r="2236" spans="5:11" x14ac:dyDescent="0.2">
      <c r="K2236" s="93"/>
    </row>
    <row r="2237" spans="5:11" x14ac:dyDescent="0.2">
      <c r="K2237" s="93"/>
    </row>
    <row r="2238" spans="5:11" x14ac:dyDescent="0.2">
      <c r="K2238" s="93"/>
    </row>
    <row r="2239" spans="5:11" x14ac:dyDescent="0.2">
      <c r="K2239" s="93"/>
    </row>
    <row r="2240" spans="5:11" x14ac:dyDescent="0.2">
      <c r="K2240" s="93"/>
    </row>
    <row r="2241" spans="5:11" x14ac:dyDescent="0.2">
      <c r="K2241" s="93"/>
    </row>
    <row r="2242" spans="5:11" x14ac:dyDescent="0.2">
      <c r="K2242" s="93"/>
    </row>
    <row r="2243" spans="5:11" x14ac:dyDescent="0.2">
      <c r="E2243" s="93"/>
      <c r="K2243" s="93"/>
    </row>
    <row r="2244" spans="5:11" x14ac:dyDescent="0.2">
      <c r="K2244" s="93"/>
    </row>
    <row r="2245" spans="5:11" x14ac:dyDescent="0.2">
      <c r="K2245" s="93"/>
    </row>
    <row r="2246" spans="5:11" x14ac:dyDescent="0.2">
      <c r="K2246" s="93"/>
    </row>
    <row r="2247" spans="5:11" x14ac:dyDescent="0.2">
      <c r="K2247" s="93"/>
    </row>
    <row r="2248" spans="5:11" x14ac:dyDescent="0.2">
      <c r="K2248" s="93"/>
    </row>
    <row r="2249" spans="5:11" x14ac:dyDescent="0.2">
      <c r="E2249" s="93"/>
      <c r="K2249" s="93"/>
    </row>
    <row r="2250" spans="5:11" x14ac:dyDescent="0.2">
      <c r="E2250" s="93"/>
      <c r="K2250" s="93"/>
    </row>
    <row r="2251" spans="5:11" x14ac:dyDescent="0.2">
      <c r="K2251" s="93"/>
    </row>
    <row r="2252" spans="5:11" x14ac:dyDescent="0.2">
      <c r="K2252" s="93"/>
    </row>
    <row r="2253" spans="5:11" x14ac:dyDescent="0.2">
      <c r="K2253" s="93"/>
    </row>
    <row r="2254" spans="5:11" x14ac:dyDescent="0.2">
      <c r="K2254" s="93"/>
    </row>
    <row r="2255" spans="5:11" x14ac:dyDescent="0.2">
      <c r="K2255" s="93"/>
    </row>
    <row r="2256" spans="5:11" x14ac:dyDescent="0.2">
      <c r="E2256" s="93"/>
      <c r="K2256" s="93"/>
    </row>
    <row r="2257" spans="5:11" x14ac:dyDescent="0.2">
      <c r="K2257" s="93"/>
    </row>
    <row r="2258" spans="5:11" x14ac:dyDescent="0.2">
      <c r="K2258" s="93"/>
    </row>
    <row r="2259" spans="5:11" x14ac:dyDescent="0.2">
      <c r="E2259" s="93"/>
      <c r="K2259" s="93"/>
    </row>
    <row r="2260" spans="5:11" x14ac:dyDescent="0.2">
      <c r="E2260" s="93"/>
      <c r="K2260" s="93"/>
    </row>
    <row r="2261" spans="5:11" x14ac:dyDescent="0.2">
      <c r="E2261" s="93"/>
      <c r="K2261" s="93"/>
    </row>
    <row r="2262" spans="5:11" x14ac:dyDescent="0.2">
      <c r="K2262" s="93"/>
    </row>
    <row r="2263" spans="5:11" x14ac:dyDescent="0.2">
      <c r="E2263" s="93"/>
      <c r="K2263" s="93"/>
    </row>
    <row r="2264" spans="5:11" x14ac:dyDescent="0.2">
      <c r="E2264" s="93"/>
      <c r="K2264" s="93"/>
    </row>
    <row r="2265" spans="5:11" x14ac:dyDescent="0.2">
      <c r="K2265" s="93"/>
    </row>
    <row r="2266" spans="5:11" x14ac:dyDescent="0.2">
      <c r="K2266" s="93"/>
    </row>
    <row r="2267" spans="5:11" x14ac:dyDescent="0.2">
      <c r="K2267" s="93"/>
    </row>
    <row r="2268" spans="5:11" x14ac:dyDescent="0.2">
      <c r="K2268" s="93"/>
    </row>
    <row r="2269" spans="5:11" x14ac:dyDescent="0.2">
      <c r="K2269" s="93"/>
    </row>
    <row r="2270" spans="5:11" x14ac:dyDescent="0.2">
      <c r="K2270" s="93"/>
    </row>
    <row r="2271" spans="5:11" x14ac:dyDescent="0.2">
      <c r="E2271" s="93"/>
      <c r="K2271" s="93"/>
    </row>
    <row r="2272" spans="5:11" x14ac:dyDescent="0.2">
      <c r="K2272" s="93"/>
    </row>
    <row r="2273" spans="5:11" x14ac:dyDescent="0.2">
      <c r="K2273" s="93"/>
    </row>
    <row r="2274" spans="5:11" x14ac:dyDescent="0.2">
      <c r="K2274" s="93"/>
    </row>
    <row r="2275" spans="5:11" x14ac:dyDescent="0.2">
      <c r="E2275" s="93"/>
      <c r="K2275" s="93"/>
    </row>
    <row r="2276" spans="5:11" x14ac:dyDescent="0.2">
      <c r="K2276" s="93"/>
    </row>
    <row r="2277" spans="5:11" x14ac:dyDescent="0.2">
      <c r="E2277" s="93"/>
      <c r="K2277" s="93"/>
    </row>
    <row r="2278" spans="5:11" x14ac:dyDescent="0.2">
      <c r="K2278" s="93"/>
    </row>
    <row r="2279" spans="5:11" x14ac:dyDescent="0.2">
      <c r="K2279" s="93"/>
    </row>
    <row r="2280" spans="5:11" x14ac:dyDescent="0.2">
      <c r="K2280" s="93"/>
    </row>
    <row r="2281" spans="5:11" x14ac:dyDescent="0.2">
      <c r="E2281" s="93"/>
      <c r="K2281" s="93"/>
    </row>
    <row r="2282" spans="5:11" x14ac:dyDescent="0.2">
      <c r="K2282" s="93"/>
    </row>
    <row r="2283" spans="5:11" x14ac:dyDescent="0.2">
      <c r="E2283" s="93"/>
      <c r="K2283" s="93"/>
    </row>
    <row r="2284" spans="5:11" x14ac:dyDescent="0.2">
      <c r="E2284" s="93"/>
      <c r="K2284" s="93"/>
    </row>
    <row r="2285" spans="5:11" x14ac:dyDescent="0.2">
      <c r="E2285" s="93"/>
      <c r="K2285" s="93"/>
    </row>
    <row r="2286" spans="5:11" x14ac:dyDescent="0.2">
      <c r="K2286" s="93"/>
    </row>
    <row r="2287" spans="5:11" x14ac:dyDescent="0.2">
      <c r="E2287" s="93"/>
      <c r="K2287" s="93"/>
    </row>
    <row r="2288" spans="5:11" x14ac:dyDescent="0.2">
      <c r="K2288" s="93"/>
    </row>
    <row r="2289" spans="5:11" x14ac:dyDescent="0.2">
      <c r="E2289" s="93"/>
      <c r="K2289" s="93"/>
    </row>
    <row r="2290" spans="5:11" x14ac:dyDescent="0.2">
      <c r="K2290" s="93"/>
    </row>
    <row r="2291" spans="5:11" x14ac:dyDescent="0.2">
      <c r="E2291" s="93"/>
      <c r="K2291" s="93"/>
    </row>
    <row r="2292" spans="5:11" x14ac:dyDescent="0.2">
      <c r="K2292" s="93"/>
    </row>
    <row r="2293" spans="5:11" x14ac:dyDescent="0.2">
      <c r="K2293" s="93"/>
    </row>
    <row r="2294" spans="5:11" x14ac:dyDescent="0.2">
      <c r="K2294" s="93"/>
    </row>
    <row r="2295" spans="5:11" x14ac:dyDescent="0.2">
      <c r="E2295" s="93"/>
      <c r="K2295" s="93"/>
    </row>
    <row r="2296" spans="5:11" x14ac:dyDescent="0.2">
      <c r="E2296" s="93"/>
      <c r="K2296" s="93"/>
    </row>
    <row r="2297" spans="5:11" x14ac:dyDescent="0.2">
      <c r="K2297" s="93"/>
    </row>
    <row r="2298" spans="5:11" x14ac:dyDescent="0.2">
      <c r="K2298" s="93"/>
    </row>
    <row r="2299" spans="5:11" x14ac:dyDescent="0.2">
      <c r="E2299" s="93"/>
      <c r="K2299" s="93"/>
    </row>
    <row r="2300" spans="5:11" x14ac:dyDescent="0.2">
      <c r="K2300" s="93"/>
    </row>
    <row r="2301" spans="5:11" x14ac:dyDescent="0.2">
      <c r="K2301" s="93"/>
    </row>
    <row r="2302" spans="5:11" x14ac:dyDescent="0.2">
      <c r="E2302" s="93"/>
      <c r="K2302" s="93"/>
    </row>
    <row r="2303" spans="5:11" x14ac:dyDescent="0.2">
      <c r="K2303" s="93"/>
    </row>
    <row r="2304" spans="5:11" x14ac:dyDescent="0.2">
      <c r="K2304" s="93"/>
    </row>
    <row r="2305" spans="5:11" x14ac:dyDescent="0.2">
      <c r="E2305" s="93"/>
      <c r="K2305" s="93"/>
    </row>
    <row r="2306" spans="5:11" x14ac:dyDescent="0.2">
      <c r="E2306" s="93"/>
      <c r="K2306" s="93"/>
    </row>
    <row r="2307" spans="5:11" x14ac:dyDescent="0.2">
      <c r="K2307" s="93"/>
    </row>
    <row r="2308" spans="5:11" x14ac:dyDescent="0.2">
      <c r="E2308" s="93"/>
      <c r="K2308" s="93"/>
    </row>
    <row r="2309" spans="5:11" x14ac:dyDescent="0.2">
      <c r="K2309" s="93"/>
    </row>
    <row r="2310" spans="5:11" x14ac:dyDescent="0.2">
      <c r="K2310" s="93"/>
    </row>
    <row r="2311" spans="5:11" x14ac:dyDescent="0.2">
      <c r="K2311" s="93"/>
    </row>
    <row r="2312" spans="5:11" x14ac:dyDescent="0.2">
      <c r="E2312" s="93"/>
      <c r="K2312" s="93"/>
    </row>
    <row r="2313" spans="5:11" x14ac:dyDescent="0.2">
      <c r="E2313" s="93"/>
      <c r="K2313" s="93"/>
    </row>
    <row r="2314" spans="5:11" x14ac:dyDescent="0.2">
      <c r="K2314" s="93"/>
    </row>
    <row r="2315" spans="5:11" x14ac:dyDescent="0.2">
      <c r="K2315" s="93"/>
    </row>
    <row r="2316" spans="5:11" x14ac:dyDescent="0.2">
      <c r="K2316" s="93"/>
    </row>
    <row r="2317" spans="5:11" x14ac:dyDescent="0.2">
      <c r="K2317" s="93"/>
    </row>
    <row r="2318" spans="5:11" x14ac:dyDescent="0.2">
      <c r="E2318" s="93"/>
      <c r="K2318" s="93"/>
    </row>
    <row r="2319" spans="5:11" x14ac:dyDescent="0.2">
      <c r="K2319" s="93"/>
    </row>
    <row r="2320" spans="5:11" x14ac:dyDescent="0.2">
      <c r="E2320" s="93"/>
      <c r="K2320" s="93"/>
    </row>
    <row r="2321" spans="5:11" x14ac:dyDescent="0.2">
      <c r="E2321" s="93"/>
      <c r="K2321" s="93"/>
    </row>
    <row r="2322" spans="5:11" x14ac:dyDescent="0.2">
      <c r="K2322" s="93"/>
    </row>
    <row r="2323" spans="5:11" x14ac:dyDescent="0.2">
      <c r="E2323" s="93"/>
      <c r="K2323" s="93"/>
    </row>
    <row r="2324" spans="5:11" x14ac:dyDescent="0.2">
      <c r="K2324" s="93"/>
    </row>
    <row r="2325" spans="5:11" x14ac:dyDescent="0.2">
      <c r="E2325" s="93"/>
      <c r="K2325" s="93"/>
    </row>
    <row r="2326" spans="5:11" x14ac:dyDescent="0.2">
      <c r="K2326" s="93"/>
    </row>
    <row r="2327" spans="5:11" x14ac:dyDescent="0.2">
      <c r="E2327" s="93"/>
      <c r="K2327" s="93"/>
    </row>
    <row r="2328" spans="5:11" x14ac:dyDescent="0.2">
      <c r="K2328" s="93"/>
    </row>
    <row r="2329" spans="5:11" x14ac:dyDescent="0.2">
      <c r="K2329" s="93"/>
    </row>
    <row r="2330" spans="5:11" x14ac:dyDescent="0.2">
      <c r="K2330" s="93"/>
    </row>
    <row r="2331" spans="5:11" x14ac:dyDescent="0.2">
      <c r="E2331" s="93"/>
      <c r="K2331" s="93"/>
    </row>
    <row r="2332" spans="5:11" x14ac:dyDescent="0.2">
      <c r="K2332" s="93"/>
    </row>
    <row r="2333" spans="5:11" x14ac:dyDescent="0.2">
      <c r="E2333" s="93"/>
      <c r="K2333" s="93"/>
    </row>
    <row r="2334" spans="5:11" x14ac:dyDescent="0.2">
      <c r="E2334" s="93"/>
      <c r="K2334" s="93"/>
    </row>
    <row r="2335" spans="5:11" x14ac:dyDescent="0.2">
      <c r="K2335" s="93"/>
    </row>
    <row r="2336" spans="5:11" x14ac:dyDescent="0.2">
      <c r="E2336" s="93"/>
      <c r="K2336" s="93"/>
    </row>
    <row r="2337" spans="5:11" x14ac:dyDescent="0.2">
      <c r="K2337" s="93"/>
    </row>
    <row r="2338" spans="5:11" x14ac:dyDescent="0.2">
      <c r="K2338" s="93"/>
    </row>
    <row r="2339" spans="5:11" x14ac:dyDescent="0.2">
      <c r="K2339" s="93"/>
    </row>
    <row r="2340" spans="5:11" x14ac:dyDescent="0.2">
      <c r="K2340" s="93"/>
    </row>
    <row r="2341" spans="5:11" x14ac:dyDescent="0.2">
      <c r="E2341" s="93"/>
      <c r="K2341" s="93"/>
    </row>
    <row r="2342" spans="5:11" x14ac:dyDescent="0.2">
      <c r="E2342" s="93"/>
      <c r="K2342" s="93"/>
    </row>
    <row r="2343" spans="5:11" x14ac:dyDescent="0.2">
      <c r="E2343" s="93"/>
      <c r="K2343" s="93"/>
    </row>
    <row r="2344" spans="5:11" x14ac:dyDescent="0.2">
      <c r="K2344" s="93"/>
    </row>
    <row r="2345" spans="5:11" x14ac:dyDescent="0.2">
      <c r="K2345" s="93"/>
    </row>
    <row r="2346" spans="5:11" x14ac:dyDescent="0.2">
      <c r="K2346" s="93"/>
    </row>
    <row r="2347" spans="5:11" x14ac:dyDescent="0.2">
      <c r="K2347" s="93"/>
    </row>
    <row r="2348" spans="5:11" x14ac:dyDescent="0.2">
      <c r="E2348" s="93"/>
      <c r="K2348" s="93"/>
    </row>
    <row r="2349" spans="5:11" x14ac:dyDescent="0.2">
      <c r="E2349" s="93"/>
      <c r="K2349" s="93"/>
    </row>
    <row r="2350" spans="5:11" x14ac:dyDescent="0.2">
      <c r="K2350" s="93"/>
    </row>
    <row r="2351" spans="5:11" x14ac:dyDescent="0.2">
      <c r="E2351" s="93"/>
      <c r="K2351" s="93"/>
    </row>
    <row r="2352" spans="5:11" x14ac:dyDescent="0.2">
      <c r="K2352" s="93"/>
    </row>
    <row r="2353" spans="5:11" x14ac:dyDescent="0.2">
      <c r="K2353" s="93"/>
    </row>
    <row r="2354" spans="5:11" x14ac:dyDescent="0.2">
      <c r="K2354" s="93"/>
    </row>
    <row r="2355" spans="5:11" x14ac:dyDescent="0.2">
      <c r="E2355" s="93"/>
      <c r="K2355" s="93"/>
    </row>
    <row r="2356" spans="5:11" x14ac:dyDescent="0.2">
      <c r="K2356" s="93"/>
    </row>
    <row r="2357" spans="5:11" x14ac:dyDescent="0.2">
      <c r="E2357" s="93"/>
      <c r="K2357" s="93"/>
    </row>
    <row r="2358" spans="5:11" x14ac:dyDescent="0.2">
      <c r="K2358" s="93"/>
    </row>
    <row r="2359" spans="5:11" x14ac:dyDescent="0.2">
      <c r="K2359" s="93"/>
    </row>
    <row r="2360" spans="5:11" x14ac:dyDescent="0.2">
      <c r="K2360" s="93"/>
    </row>
    <row r="2361" spans="5:11" x14ac:dyDescent="0.2">
      <c r="K2361" s="93"/>
    </row>
    <row r="2362" spans="5:11" x14ac:dyDescent="0.2">
      <c r="K2362" s="93"/>
    </row>
    <row r="2363" spans="5:11" x14ac:dyDescent="0.2">
      <c r="E2363" s="93"/>
      <c r="K2363" s="93"/>
    </row>
    <row r="2364" spans="5:11" x14ac:dyDescent="0.2">
      <c r="K2364" s="93"/>
    </row>
    <row r="2365" spans="5:11" x14ac:dyDescent="0.2">
      <c r="E2365" s="93"/>
      <c r="K2365" s="93"/>
    </row>
    <row r="2366" spans="5:11" x14ac:dyDescent="0.2">
      <c r="K2366" s="93"/>
    </row>
    <row r="2367" spans="5:11" x14ac:dyDescent="0.2">
      <c r="K2367" s="93"/>
    </row>
    <row r="2368" spans="5:11" x14ac:dyDescent="0.2">
      <c r="K2368" s="93"/>
    </row>
    <row r="2369" spans="5:11" x14ac:dyDescent="0.2">
      <c r="K2369" s="93"/>
    </row>
    <row r="2370" spans="5:11" x14ac:dyDescent="0.2">
      <c r="K2370" s="93"/>
    </row>
    <row r="2371" spans="5:11" x14ac:dyDescent="0.2">
      <c r="K2371" s="93"/>
    </row>
    <row r="2372" spans="5:11" x14ac:dyDescent="0.2">
      <c r="K2372" s="93"/>
    </row>
    <row r="2373" spans="5:11" x14ac:dyDescent="0.2">
      <c r="E2373" s="93"/>
      <c r="K2373" s="93"/>
    </row>
    <row r="2374" spans="5:11" x14ac:dyDescent="0.2">
      <c r="K2374" s="93"/>
    </row>
    <row r="2375" spans="5:11" x14ac:dyDescent="0.2">
      <c r="K2375" s="93"/>
    </row>
    <row r="2376" spans="5:11" x14ac:dyDescent="0.2">
      <c r="K2376" s="93"/>
    </row>
    <row r="2377" spans="5:11" x14ac:dyDescent="0.2">
      <c r="E2377" s="93"/>
      <c r="K2377" s="93"/>
    </row>
    <row r="2378" spans="5:11" x14ac:dyDescent="0.2">
      <c r="K2378" s="93"/>
    </row>
    <row r="2379" spans="5:11" x14ac:dyDescent="0.2">
      <c r="K2379" s="93"/>
    </row>
    <row r="2380" spans="5:11" x14ac:dyDescent="0.2">
      <c r="E2380" s="93"/>
      <c r="K2380" s="93"/>
    </row>
    <row r="2381" spans="5:11" x14ac:dyDescent="0.2">
      <c r="K2381" s="93"/>
    </row>
    <row r="2382" spans="5:11" x14ac:dyDescent="0.2">
      <c r="K2382" s="93"/>
    </row>
    <row r="2383" spans="5:11" x14ac:dyDescent="0.2">
      <c r="E2383" s="93"/>
      <c r="K2383" s="93"/>
    </row>
    <row r="2384" spans="5:11" x14ac:dyDescent="0.2">
      <c r="E2384" s="93"/>
      <c r="K2384" s="93"/>
    </row>
    <row r="2385" spans="5:11" x14ac:dyDescent="0.2">
      <c r="K2385" s="93"/>
    </row>
    <row r="2386" spans="5:11" x14ac:dyDescent="0.2">
      <c r="K2386" s="93"/>
    </row>
    <row r="2387" spans="5:11" x14ac:dyDescent="0.2">
      <c r="K2387" s="93"/>
    </row>
    <row r="2388" spans="5:11" x14ac:dyDescent="0.2">
      <c r="K2388" s="93"/>
    </row>
    <row r="2389" spans="5:11" x14ac:dyDescent="0.2">
      <c r="E2389" s="93"/>
      <c r="K2389" s="93"/>
    </row>
    <row r="2390" spans="5:11" x14ac:dyDescent="0.2">
      <c r="K2390" s="93"/>
    </row>
    <row r="2391" spans="5:11" x14ac:dyDescent="0.2">
      <c r="K2391" s="93"/>
    </row>
    <row r="2392" spans="5:11" x14ac:dyDescent="0.2">
      <c r="K2392" s="93"/>
    </row>
    <row r="2393" spans="5:11" x14ac:dyDescent="0.2">
      <c r="E2393" s="93"/>
      <c r="K2393" s="93"/>
    </row>
    <row r="2394" spans="5:11" x14ac:dyDescent="0.2">
      <c r="K2394" s="93"/>
    </row>
    <row r="2395" spans="5:11" x14ac:dyDescent="0.2">
      <c r="E2395" s="93"/>
      <c r="K2395" s="93"/>
    </row>
    <row r="2396" spans="5:11" x14ac:dyDescent="0.2">
      <c r="K2396" s="93"/>
    </row>
    <row r="2397" spans="5:11" x14ac:dyDescent="0.2">
      <c r="K2397" s="93"/>
    </row>
    <row r="2398" spans="5:11" x14ac:dyDescent="0.2">
      <c r="K2398" s="93"/>
    </row>
    <row r="2399" spans="5:11" x14ac:dyDescent="0.2">
      <c r="K2399" s="93"/>
    </row>
    <row r="2400" spans="5:11" x14ac:dyDescent="0.2">
      <c r="K2400" s="93"/>
    </row>
    <row r="2401" spans="5:11" x14ac:dyDescent="0.2">
      <c r="K2401" s="93"/>
    </row>
    <row r="2402" spans="5:11" x14ac:dyDescent="0.2">
      <c r="E2402" s="93"/>
      <c r="K2402" s="93"/>
    </row>
    <row r="2403" spans="5:11" x14ac:dyDescent="0.2">
      <c r="K2403" s="93"/>
    </row>
    <row r="2404" spans="5:11" x14ac:dyDescent="0.2">
      <c r="K2404" s="93"/>
    </row>
    <row r="2405" spans="5:11" x14ac:dyDescent="0.2">
      <c r="K2405" s="93"/>
    </row>
    <row r="2406" spans="5:11" x14ac:dyDescent="0.2">
      <c r="K2406" s="93"/>
    </row>
    <row r="2407" spans="5:11" x14ac:dyDescent="0.2">
      <c r="E2407" s="93"/>
      <c r="K2407" s="93"/>
    </row>
    <row r="2408" spans="5:11" x14ac:dyDescent="0.2">
      <c r="E2408" s="93"/>
      <c r="K2408" s="93"/>
    </row>
    <row r="2409" spans="5:11" x14ac:dyDescent="0.2">
      <c r="K2409" s="93"/>
    </row>
    <row r="2410" spans="5:11" x14ac:dyDescent="0.2">
      <c r="E2410" s="93"/>
      <c r="K2410" s="93"/>
    </row>
    <row r="2411" spans="5:11" x14ac:dyDescent="0.2">
      <c r="K2411" s="93"/>
    </row>
    <row r="2412" spans="5:11" x14ac:dyDescent="0.2">
      <c r="K2412" s="93"/>
    </row>
    <row r="2413" spans="5:11" x14ac:dyDescent="0.2">
      <c r="E2413" s="93"/>
      <c r="K2413" s="93"/>
    </row>
    <row r="2414" spans="5:11" x14ac:dyDescent="0.2">
      <c r="E2414" s="93"/>
      <c r="K2414" s="93"/>
    </row>
    <row r="2415" spans="5:11" x14ac:dyDescent="0.2">
      <c r="K2415" s="93"/>
    </row>
    <row r="2416" spans="5:11" x14ac:dyDescent="0.2">
      <c r="K2416" s="93"/>
    </row>
    <row r="2417" spans="5:11" x14ac:dyDescent="0.2">
      <c r="K2417" s="93"/>
    </row>
    <row r="2418" spans="5:11" x14ac:dyDescent="0.2">
      <c r="E2418" s="93"/>
      <c r="K2418" s="93"/>
    </row>
    <row r="2419" spans="5:11" x14ac:dyDescent="0.2">
      <c r="K2419" s="93"/>
    </row>
    <row r="2420" spans="5:11" x14ac:dyDescent="0.2">
      <c r="K2420" s="93"/>
    </row>
    <row r="2421" spans="5:11" x14ac:dyDescent="0.2">
      <c r="K2421" s="93"/>
    </row>
    <row r="2422" spans="5:11" x14ac:dyDescent="0.2">
      <c r="K2422" s="93"/>
    </row>
    <row r="2423" spans="5:11" x14ac:dyDescent="0.2">
      <c r="E2423" s="93"/>
      <c r="K2423" s="93"/>
    </row>
    <row r="2424" spans="5:11" x14ac:dyDescent="0.2">
      <c r="K2424" s="93"/>
    </row>
    <row r="2425" spans="5:11" x14ac:dyDescent="0.2">
      <c r="E2425" s="93"/>
      <c r="K2425" s="93"/>
    </row>
    <row r="2426" spans="5:11" x14ac:dyDescent="0.2">
      <c r="K2426" s="93"/>
    </row>
    <row r="2427" spans="5:11" x14ac:dyDescent="0.2">
      <c r="K2427" s="93"/>
    </row>
    <row r="2428" spans="5:11" x14ac:dyDescent="0.2">
      <c r="K2428" s="93"/>
    </row>
    <row r="2429" spans="5:11" x14ac:dyDescent="0.2">
      <c r="K2429" s="93"/>
    </row>
    <row r="2430" spans="5:11" x14ac:dyDescent="0.2">
      <c r="E2430" s="93"/>
      <c r="K2430" s="93"/>
    </row>
    <row r="2431" spans="5:11" x14ac:dyDescent="0.2">
      <c r="K2431" s="93"/>
    </row>
    <row r="2432" spans="5:11" x14ac:dyDescent="0.2">
      <c r="K2432" s="93"/>
    </row>
    <row r="2433" spans="5:11" x14ac:dyDescent="0.2">
      <c r="K2433" s="93"/>
    </row>
    <row r="2434" spans="5:11" x14ac:dyDescent="0.2">
      <c r="E2434" s="93"/>
      <c r="K2434" s="93"/>
    </row>
    <row r="2435" spans="5:11" x14ac:dyDescent="0.2">
      <c r="E2435" s="93"/>
      <c r="K2435" s="93"/>
    </row>
    <row r="2436" spans="5:11" x14ac:dyDescent="0.2">
      <c r="K2436" s="93"/>
    </row>
    <row r="2437" spans="5:11" x14ac:dyDescent="0.2">
      <c r="E2437" s="93"/>
      <c r="K2437" s="93"/>
    </row>
    <row r="2438" spans="5:11" x14ac:dyDescent="0.2">
      <c r="K2438" s="93"/>
    </row>
    <row r="2439" spans="5:11" x14ac:dyDescent="0.2">
      <c r="E2439" s="93"/>
      <c r="K2439" s="93"/>
    </row>
    <row r="2440" spans="5:11" x14ac:dyDescent="0.2">
      <c r="E2440" s="93"/>
      <c r="K2440" s="93"/>
    </row>
    <row r="2441" spans="5:11" x14ac:dyDescent="0.2">
      <c r="E2441" s="93"/>
      <c r="K2441" s="93"/>
    </row>
    <row r="2442" spans="5:11" x14ac:dyDescent="0.2">
      <c r="E2442" s="93"/>
      <c r="K2442" s="93"/>
    </row>
    <row r="2443" spans="5:11" x14ac:dyDescent="0.2">
      <c r="K2443" s="93"/>
    </row>
    <row r="2444" spans="5:11" x14ac:dyDescent="0.2">
      <c r="K2444" s="93"/>
    </row>
    <row r="2445" spans="5:11" x14ac:dyDescent="0.2">
      <c r="K2445" s="93"/>
    </row>
    <row r="2446" spans="5:11" x14ac:dyDescent="0.2">
      <c r="E2446" s="93"/>
      <c r="K2446" s="93"/>
    </row>
    <row r="2447" spans="5:11" x14ac:dyDescent="0.2">
      <c r="E2447" s="93"/>
      <c r="K2447" s="93"/>
    </row>
    <row r="2448" spans="5:11" x14ac:dyDescent="0.2">
      <c r="K2448" s="93"/>
    </row>
    <row r="2449" spans="5:11" x14ac:dyDescent="0.2">
      <c r="E2449" s="93"/>
      <c r="K2449" s="93"/>
    </row>
    <row r="2450" spans="5:11" x14ac:dyDescent="0.2">
      <c r="K2450" s="93"/>
    </row>
    <row r="2451" spans="5:11" x14ac:dyDescent="0.2">
      <c r="E2451" s="93"/>
      <c r="K2451" s="93"/>
    </row>
    <row r="2452" spans="5:11" x14ac:dyDescent="0.2">
      <c r="K2452" s="93"/>
    </row>
    <row r="2453" spans="5:11" x14ac:dyDescent="0.2">
      <c r="E2453" s="93"/>
      <c r="K2453" s="93"/>
    </row>
    <row r="2454" spans="5:11" x14ac:dyDescent="0.2">
      <c r="E2454" s="93"/>
      <c r="K2454" s="93"/>
    </row>
    <row r="2455" spans="5:11" x14ac:dyDescent="0.2">
      <c r="K2455" s="93"/>
    </row>
    <row r="2456" spans="5:11" x14ac:dyDescent="0.2">
      <c r="E2456" s="93"/>
      <c r="K2456" s="93"/>
    </row>
    <row r="2457" spans="5:11" x14ac:dyDescent="0.2">
      <c r="E2457" s="93"/>
      <c r="K2457" s="93"/>
    </row>
    <row r="2458" spans="5:11" x14ac:dyDescent="0.2">
      <c r="K2458" s="93"/>
    </row>
    <row r="2459" spans="5:11" x14ac:dyDescent="0.2">
      <c r="K2459" s="93"/>
    </row>
    <row r="2460" spans="5:11" x14ac:dyDescent="0.2">
      <c r="E2460" s="93"/>
      <c r="K2460" s="93"/>
    </row>
    <row r="2461" spans="5:11" x14ac:dyDescent="0.2">
      <c r="K2461" s="93"/>
    </row>
    <row r="2462" spans="5:11" x14ac:dyDescent="0.2">
      <c r="E2462" s="93"/>
      <c r="K2462" s="93"/>
    </row>
    <row r="2463" spans="5:11" x14ac:dyDescent="0.2">
      <c r="E2463" s="93"/>
      <c r="K2463" s="93"/>
    </row>
    <row r="2464" spans="5:11" x14ac:dyDescent="0.2">
      <c r="K2464" s="93"/>
    </row>
    <row r="2465" spans="5:11" x14ac:dyDescent="0.2">
      <c r="K2465" s="93"/>
    </row>
    <row r="2466" spans="5:11" x14ac:dyDescent="0.2">
      <c r="E2466" s="93"/>
      <c r="K2466" s="93"/>
    </row>
    <row r="2467" spans="5:11" x14ac:dyDescent="0.2">
      <c r="K2467" s="93"/>
    </row>
    <row r="2468" spans="5:11" x14ac:dyDescent="0.2">
      <c r="K2468" s="93"/>
    </row>
    <row r="2469" spans="5:11" x14ac:dyDescent="0.2">
      <c r="K2469" s="93"/>
    </row>
    <row r="2470" spans="5:11" x14ac:dyDescent="0.2">
      <c r="E2470" s="93"/>
      <c r="K2470" s="93"/>
    </row>
    <row r="2471" spans="5:11" x14ac:dyDescent="0.2">
      <c r="E2471" s="93"/>
      <c r="K2471" s="93"/>
    </row>
    <row r="2472" spans="5:11" x14ac:dyDescent="0.2">
      <c r="E2472" s="93"/>
      <c r="K2472" s="93"/>
    </row>
    <row r="2473" spans="5:11" x14ac:dyDescent="0.2">
      <c r="K2473" s="93"/>
    </row>
    <row r="2474" spans="5:11" x14ac:dyDescent="0.2">
      <c r="K2474" s="93"/>
    </row>
    <row r="2475" spans="5:11" x14ac:dyDescent="0.2">
      <c r="K2475" s="93"/>
    </row>
    <row r="2476" spans="5:11" x14ac:dyDescent="0.2">
      <c r="E2476" s="93"/>
      <c r="K2476" s="93"/>
    </row>
    <row r="2477" spans="5:11" x14ac:dyDescent="0.2">
      <c r="K2477" s="93"/>
    </row>
    <row r="2478" spans="5:11" x14ac:dyDescent="0.2">
      <c r="K2478" s="93"/>
    </row>
    <row r="2479" spans="5:11" x14ac:dyDescent="0.2">
      <c r="K2479" s="93"/>
    </row>
    <row r="2480" spans="5:11" x14ac:dyDescent="0.2">
      <c r="E2480" s="93"/>
      <c r="K2480" s="93"/>
    </row>
    <row r="2481" spans="5:11" x14ac:dyDescent="0.2">
      <c r="K2481" s="93"/>
    </row>
    <row r="2482" spans="5:11" x14ac:dyDescent="0.2">
      <c r="K2482" s="93"/>
    </row>
    <row r="2483" spans="5:11" x14ac:dyDescent="0.2">
      <c r="K2483" s="93"/>
    </row>
    <row r="2484" spans="5:11" x14ac:dyDescent="0.2">
      <c r="K2484" s="93"/>
    </row>
    <row r="2485" spans="5:11" x14ac:dyDescent="0.2">
      <c r="E2485" s="93"/>
      <c r="K2485" s="93"/>
    </row>
    <row r="2486" spans="5:11" x14ac:dyDescent="0.2">
      <c r="K2486" s="93"/>
    </row>
    <row r="2487" spans="5:11" x14ac:dyDescent="0.2">
      <c r="K2487" s="93"/>
    </row>
    <row r="2488" spans="5:11" x14ac:dyDescent="0.2">
      <c r="K2488" s="93"/>
    </row>
    <row r="2489" spans="5:11" x14ac:dyDescent="0.2">
      <c r="K2489" s="93"/>
    </row>
    <row r="2490" spans="5:11" x14ac:dyDescent="0.2">
      <c r="K2490" s="93"/>
    </row>
    <row r="2491" spans="5:11" x14ac:dyDescent="0.2">
      <c r="K2491" s="93"/>
    </row>
    <row r="2492" spans="5:11" x14ac:dyDescent="0.2">
      <c r="K2492" s="93"/>
    </row>
    <row r="2493" spans="5:11" x14ac:dyDescent="0.2">
      <c r="K2493" s="93"/>
    </row>
    <row r="2494" spans="5:11" x14ac:dyDescent="0.2">
      <c r="K2494" s="93"/>
    </row>
    <row r="2495" spans="5:11" x14ac:dyDescent="0.2">
      <c r="K2495" s="93"/>
    </row>
    <row r="2496" spans="5:11" x14ac:dyDescent="0.2">
      <c r="E2496" s="93"/>
      <c r="K2496" s="93"/>
    </row>
    <row r="2497" spans="5:11" x14ac:dyDescent="0.2">
      <c r="K2497" s="93"/>
    </row>
    <row r="2498" spans="5:11" x14ac:dyDescent="0.2">
      <c r="E2498" s="93"/>
      <c r="K2498" s="93"/>
    </row>
    <row r="2499" spans="5:11" x14ac:dyDescent="0.2">
      <c r="E2499" s="93"/>
      <c r="K2499" s="93"/>
    </row>
    <row r="2500" spans="5:11" x14ac:dyDescent="0.2">
      <c r="E2500" s="93"/>
      <c r="K2500" s="93"/>
    </row>
    <row r="2501" spans="5:11" x14ac:dyDescent="0.2">
      <c r="E2501" s="93"/>
      <c r="K2501" s="93"/>
    </row>
    <row r="2502" spans="5:11" x14ac:dyDescent="0.2">
      <c r="K2502" s="93"/>
    </row>
    <row r="2503" spans="5:11" x14ac:dyDescent="0.2">
      <c r="K2503" s="93"/>
    </row>
    <row r="2504" spans="5:11" x14ac:dyDescent="0.2">
      <c r="K2504" s="93"/>
    </row>
    <row r="2505" spans="5:11" x14ac:dyDescent="0.2">
      <c r="K2505" s="93"/>
    </row>
    <row r="2506" spans="5:11" x14ac:dyDescent="0.2">
      <c r="E2506" s="93"/>
      <c r="K2506" s="93"/>
    </row>
    <row r="2507" spans="5:11" x14ac:dyDescent="0.2">
      <c r="E2507" s="93"/>
      <c r="K2507" s="93"/>
    </row>
    <row r="2508" spans="5:11" x14ac:dyDescent="0.2">
      <c r="K2508" s="93"/>
    </row>
    <row r="2509" spans="5:11" x14ac:dyDescent="0.2">
      <c r="K2509" s="93"/>
    </row>
    <row r="2510" spans="5:11" x14ac:dyDescent="0.2">
      <c r="K2510" s="93"/>
    </row>
    <row r="2511" spans="5:11" x14ac:dyDescent="0.2">
      <c r="K2511" s="93"/>
    </row>
    <row r="2512" spans="5:11" x14ac:dyDescent="0.2">
      <c r="K2512" s="93"/>
    </row>
    <row r="2513" spans="5:11" x14ac:dyDescent="0.2">
      <c r="K2513" s="93"/>
    </row>
    <row r="2514" spans="5:11" x14ac:dyDescent="0.2">
      <c r="K2514" s="93"/>
    </row>
    <row r="2515" spans="5:11" x14ac:dyDescent="0.2">
      <c r="K2515" s="93"/>
    </row>
    <row r="2516" spans="5:11" x14ac:dyDescent="0.2">
      <c r="K2516" s="93"/>
    </row>
    <row r="2517" spans="5:11" x14ac:dyDescent="0.2">
      <c r="K2517" s="93"/>
    </row>
    <row r="2518" spans="5:11" x14ac:dyDescent="0.2">
      <c r="E2518" s="93"/>
      <c r="K2518" s="93"/>
    </row>
    <row r="2519" spans="5:11" x14ac:dyDescent="0.2">
      <c r="K2519" s="93"/>
    </row>
    <row r="2520" spans="5:11" x14ac:dyDescent="0.2">
      <c r="K2520" s="93"/>
    </row>
    <row r="2521" spans="5:11" x14ac:dyDescent="0.2">
      <c r="K2521" s="93"/>
    </row>
    <row r="2522" spans="5:11" x14ac:dyDescent="0.2">
      <c r="E2522" s="93"/>
      <c r="K2522" s="93"/>
    </row>
    <row r="2523" spans="5:11" x14ac:dyDescent="0.2">
      <c r="E2523" s="93"/>
      <c r="K2523" s="93"/>
    </row>
    <row r="2524" spans="5:11" x14ac:dyDescent="0.2">
      <c r="K2524" s="93"/>
    </row>
    <row r="2525" spans="5:11" x14ac:dyDescent="0.2">
      <c r="K2525" s="93"/>
    </row>
    <row r="2526" spans="5:11" x14ac:dyDescent="0.2">
      <c r="K2526" s="93"/>
    </row>
    <row r="2527" spans="5:11" x14ac:dyDescent="0.2">
      <c r="E2527" s="93"/>
      <c r="K2527" s="93"/>
    </row>
    <row r="2528" spans="5:11" x14ac:dyDescent="0.2">
      <c r="K2528" s="93"/>
    </row>
    <row r="2529" spans="5:11" x14ac:dyDescent="0.2">
      <c r="K2529" s="93"/>
    </row>
    <row r="2530" spans="5:11" x14ac:dyDescent="0.2">
      <c r="E2530" s="93"/>
      <c r="K2530" s="93"/>
    </row>
    <row r="2531" spans="5:11" x14ac:dyDescent="0.2">
      <c r="E2531" s="93"/>
      <c r="K2531" s="93"/>
    </row>
    <row r="2532" spans="5:11" x14ac:dyDescent="0.2">
      <c r="K2532" s="93"/>
    </row>
    <row r="2533" spans="5:11" x14ac:dyDescent="0.2">
      <c r="K2533" s="93"/>
    </row>
    <row r="2534" spans="5:11" x14ac:dyDescent="0.2">
      <c r="K2534" s="93"/>
    </row>
    <row r="2535" spans="5:11" x14ac:dyDescent="0.2">
      <c r="K2535" s="93"/>
    </row>
    <row r="2536" spans="5:11" x14ac:dyDescent="0.2">
      <c r="K2536" s="93"/>
    </row>
    <row r="2537" spans="5:11" x14ac:dyDescent="0.2">
      <c r="K2537" s="93"/>
    </row>
    <row r="2538" spans="5:11" x14ac:dyDescent="0.2">
      <c r="E2538" s="93"/>
      <c r="K2538" s="93"/>
    </row>
    <row r="2539" spans="5:11" x14ac:dyDescent="0.2">
      <c r="K2539" s="93"/>
    </row>
    <row r="2540" spans="5:11" x14ac:dyDescent="0.2">
      <c r="K2540" s="93"/>
    </row>
    <row r="2541" spans="5:11" x14ac:dyDescent="0.2">
      <c r="K2541" s="93"/>
    </row>
    <row r="2542" spans="5:11" x14ac:dyDescent="0.2">
      <c r="K2542" s="93"/>
    </row>
    <row r="2543" spans="5:11" x14ac:dyDescent="0.2">
      <c r="K2543" s="93"/>
    </row>
    <row r="2544" spans="5:11" x14ac:dyDescent="0.2">
      <c r="K2544" s="93"/>
    </row>
    <row r="2545" spans="5:11" x14ac:dyDescent="0.2">
      <c r="E2545" s="93"/>
      <c r="K2545" s="93"/>
    </row>
    <row r="2546" spans="5:11" x14ac:dyDescent="0.2">
      <c r="K2546" s="93"/>
    </row>
    <row r="2547" spans="5:11" x14ac:dyDescent="0.2">
      <c r="E2547" s="93"/>
      <c r="K2547" s="93"/>
    </row>
    <row r="2548" spans="5:11" x14ac:dyDescent="0.2">
      <c r="K2548" s="93"/>
    </row>
    <row r="2549" spans="5:11" x14ac:dyDescent="0.2">
      <c r="E2549" s="93"/>
      <c r="K2549" s="93"/>
    </row>
    <row r="2550" spans="5:11" x14ac:dyDescent="0.2">
      <c r="K2550" s="93"/>
    </row>
    <row r="2551" spans="5:11" x14ac:dyDescent="0.2">
      <c r="E2551" s="93"/>
      <c r="K2551" s="93"/>
    </row>
    <row r="2552" spans="5:11" x14ac:dyDescent="0.2">
      <c r="K2552" s="93"/>
    </row>
    <row r="2553" spans="5:11" x14ac:dyDescent="0.2">
      <c r="K2553" s="93"/>
    </row>
    <row r="2554" spans="5:11" x14ac:dyDescent="0.2">
      <c r="K2554" s="93"/>
    </row>
    <row r="2555" spans="5:11" x14ac:dyDescent="0.2">
      <c r="E2555" s="93"/>
      <c r="K2555" s="93"/>
    </row>
    <row r="2556" spans="5:11" x14ac:dyDescent="0.2">
      <c r="K2556" s="93"/>
    </row>
    <row r="2557" spans="5:11" x14ac:dyDescent="0.2">
      <c r="E2557" s="93"/>
      <c r="K2557" s="93"/>
    </row>
    <row r="2558" spans="5:11" x14ac:dyDescent="0.2">
      <c r="K2558" s="93"/>
    </row>
    <row r="2559" spans="5:11" x14ac:dyDescent="0.2">
      <c r="E2559" s="93"/>
      <c r="K2559" s="93"/>
    </row>
  </sheetData>
  <hyperlinks>
    <hyperlink ref="B131" r:id="rId1" xr:uid="{00000000-0004-0000-0200-000000000000}"/>
    <hyperlink ref="B177" r:id="rId2" xr:uid="{00000000-0004-0000-0200-000001000000}"/>
    <hyperlink ref="B231" r:id="rId3" xr:uid="{00000000-0004-0000-0200-000002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E2:K2559"/>
  <sheetViews>
    <sheetView workbookViewId="0"/>
  </sheetViews>
  <sheetFormatPr defaultColWidth="12.5703125" defaultRowHeight="15.75" customHeight="1" x14ac:dyDescent="0.2"/>
  <sheetData>
    <row r="2" spans="5:11" x14ac:dyDescent="0.2">
      <c r="K2" s="93"/>
    </row>
    <row r="3" spans="5:11" x14ac:dyDescent="0.2">
      <c r="K3" s="93"/>
    </row>
    <row r="4" spans="5:11" x14ac:dyDescent="0.2">
      <c r="E4" s="93"/>
      <c r="K4" s="93"/>
    </row>
    <row r="5" spans="5:11" x14ac:dyDescent="0.2">
      <c r="K5" s="93"/>
    </row>
    <row r="6" spans="5:11" x14ac:dyDescent="0.2">
      <c r="K6" s="93"/>
    </row>
    <row r="7" spans="5:11" x14ac:dyDescent="0.2">
      <c r="K7" s="93"/>
    </row>
    <row r="8" spans="5:11" x14ac:dyDescent="0.2">
      <c r="E8" s="93"/>
      <c r="K8" s="93"/>
    </row>
    <row r="9" spans="5:11" x14ac:dyDescent="0.2">
      <c r="E9" s="93"/>
      <c r="K9" s="93"/>
    </row>
    <row r="10" spans="5:11" x14ac:dyDescent="0.2">
      <c r="E10" s="93"/>
      <c r="K10" s="93"/>
    </row>
    <row r="11" spans="5:11" x14ac:dyDescent="0.2">
      <c r="K11" s="93"/>
    </row>
    <row r="12" spans="5:11" x14ac:dyDescent="0.2">
      <c r="K12" s="93"/>
    </row>
    <row r="13" spans="5:11" x14ac:dyDescent="0.2">
      <c r="K13" s="93"/>
    </row>
    <row r="14" spans="5:11" x14ac:dyDescent="0.2">
      <c r="E14" s="93"/>
      <c r="K14" s="93"/>
    </row>
    <row r="15" spans="5:11" x14ac:dyDescent="0.2">
      <c r="K15" s="93"/>
    </row>
    <row r="16" spans="5:11" x14ac:dyDescent="0.2">
      <c r="K16" s="93"/>
    </row>
    <row r="17" spans="5:11" x14ac:dyDescent="0.2">
      <c r="K17" s="93"/>
    </row>
    <row r="18" spans="5:11" x14ac:dyDescent="0.2">
      <c r="K18" s="93"/>
    </row>
    <row r="19" spans="5:11" x14ac:dyDescent="0.2">
      <c r="K19" s="93"/>
    </row>
    <row r="20" spans="5:11" x14ac:dyDescent="0.2">
      <c r="K20" s="93"/>
    </row>
    <row r="21" spans="5:11" x14ac:dyDescent="0.2">
      <c r="E21" s="93"/>
      <c r="K21" s="93"/>
    </row>
    <row r="22" spans="5:11" x14ac:dyDescent="0.2">
      <c r="E22" s="93"/>
      <c r="K22" s="93"/>
    </row>
    <row r="23" spans="5:11" x14ac:dyDescent="0.2">
      <c r="E23" s="93"/>
      <c r="K23" s="93"/>
    </row>
    <row r="24" spans="5:11" x14ac:dyDescent="0.2">
      <c r="K24" s="93"/>
    </row>
    <row r="25" spans="5:11" x14ac:dyDescent="0.2">
      <c r="E25" s="93"/>
      <c r="K25" s="93"/>
    </row>
    <row r="26" spans="5:11" x14ac:dyDescent="0.2">
      <c r="E26" s="93"/>
      <c r="K26" s="93"/>
    </row>
    <row r="27" spans="5:11" x14ac:dyDescent="0.2">
      <c r="K27" s="93"/>
    </row>
    <row r="28" spans="5:11" x14ac:dyDescent="0.2">
      <c r="K28" s="93"/>
    </row>
    <row r="29" spans="5:11" x14ac:dyDescent="0.2">
      <c r="E29" s="93"/>
      <c r="K29" s="93"/>
    </row>
    <row r="30" spans="5:11" x14ac:dyDescent="0.2">
      <c r="E30" s="93"/>
      <c r="K30" s="93"/>
    </row>
    <row r="31" spans="5:11" x14ac:dyDescent="0.2">
      <c r="K31" s="93"/>
    </row>
    <row r="32" spans="5:11" x14ac:dyDescent="0.2">
      <c r="E32" s="93"/>
      <c r="K32" s="93"/>
    </row>
    <row r="33" spans="5:11" x14ac:dyDescent="0.2">
      <c r="E33" s="93"/>
      <c r="K33" s="93"/>
    </row>
    <row r="34" spans="5:11" x14ac:dyDescent="0.2">
      <c r="E34" s="93"/>
      <c r="K34" s="93"/>
    </row>
    <row r="35" spans="5:11" x14ac:dyDescent="0.2">
      <c r="E35" s="93"/>
      <c r="K35" s="93"/>
    </row>
    <row r="36" spans="5:11" x14ac:dyDescent="0.2">
      <c r="K36" s="93"/>
    </row>
    <row r="37" spans="5:11" x14ac:dyDescent="0.2">
      <c r="K37" s="93"/>
    </row>
    <row r="38" spans="5:11" x14ac:dyDescent="0.2">
      <c r="E38" s="93"/>
      <c r="K38" s="93"/>
    </row>
    <row r="39" spans="5:11" x14ac:dyDescent="0.2">
      <c r="K39" s="93"/>
    </row>
    <row r="40" spans="5:11" x14ac:dyDescent="0.2">
      <c r="K40" s="93"/>
    </row>
    <row r="41" spans="5:11" x14ac:dyDescent="0.2">
      <c r="E41" s="93"/>
      <c r="K41" s="93"/>
    </row>
    <row r="42" spans="5:11" x14ac:dyDescent="0.2">
      <c r="K42" s="93"/>
    </row>
    <row r="43" spans="5:11" x14ac:dyDescent="0.2">
      <c r="K43" s="93"/>
    </row>
    <row r="44" spans="5:11" x14ac:dyDescent="0.2">
      <c r="K44" s="93"/>
    </row>
    <row r="45" spans="5:11" x14ac:dyDescent="0.2">
      <c r="K45" s="93"/>
    </row>
    <row r="46" spans="5:11" x14ac:dyDescent="0.2">
      <c r="E46" s="93"/>
      <c r="K46" s="93"/>
    </row>
    <row r="47" spans="5:11" x14ac:dyDescent="0.2">
      <c r="K47" s="93"/>
    </row>
    <row r="48" spans="5:11" x14ac:dyDescent="0.2">
      <c r="K48" s="93"/>
    </row>
    <row r="49" spans="5:11" x14ac:dyDescent="0.2">
      <c r="E49" s="93"/>
      <c r="K49" s="93"/>
    </row>
    <row r="50" spans="5:11" x14ac:dyDescent="0.2">
      <c r="K50" s="93"/>
    </row>
    <row r="51" spans="5:11" x14ac:dyDescent="0.2">
      <c r="K51" s="93"/>
    </row>
    <row r="52" spans="5:11" x14ac:dyDescent="0.2">
      <c r="K52" s="93"/>
    </row>
    <row r="53" spans="5:11" x14ac:dyDescent="0.2">
      <c r="E53" s="93"/>
      <c r="K53" s="93"/>
    </row>
    <row r="54" spans="5:11" x14ac:dyDescent="0.2">
      <c r="E54" s="93"/>
      <c r="K54" s="93"/>
    </row>
    <row r="55" spans="5:11" x14ac:dyDescent="0.2">
      <c r="E55" s="93"/>
      <c r="K55" s="93"/>
    </row>
    <row r="56" spans="5:11" x14ac:dyDescent="0.2">
      <c r="E56" s="93"/>
      <c r="K56" s="93"/>
    </row>
    <row r="57" spans="5:11" x14ac:dyDescent="0.2">
      <c r="E57" s="93"/>
      <c r="K57" s="93"/>
    </row>
    <row r="58" spans="5:11" x14ac:dyDescent="0.2">
      <c r="E58" s="93"/>
      <c r="K58" s="93"/>
    </row>
    <row r="59" spans="5:11" x14ac:dyDescent="0.2">
      <c r="E59" s="93"/>
      <c r="K59" s="93"/>
    </row>
    <row r="60" spans="5:11" x14ac:dyDescent="0.2">
      <c r="E60" s="93"/>
      <c r="K60" s="93"/>
    </row>
    <row r="61" spans="5:11" x14ac:dyDescent="0.2">
      <c r="E61" s="93"/>
      <c r="K61" s="93"/>
    </row>
    <row r="62" spans="5:11" x14ac:dyDescent="0.2">
      <c r="K62" s="93"/>
    </row>
    <row r="63" spans="5:11" x14ac:dyDescent="0.2">
      <c r="E63" s="93"/>
      <c r="K63" s="93"/>
    </row>
    <row r="64" spans="5:11" x14ac:dyDescent="0.2">
      <c r="E64" s="93"/>
      <c r="K64" s="93"/>
    </row>
    <row r="65" spans="5:11" x14ac:dyDescent="0.2">
      <c r="K65" s="93"/>
    </row>
    <row r="66" spans="5:11" x14ac:dyDescent="0.2">
      <c r="K66" s="93"/>
    </row>
    <row r="67" spans="5:11" x14ac:dyDescent="0.2">
      <c r="K67" s="93"/>
    </row>
    <row r="68" spans="5:11" x14ac:dyDescent="0.2">
      <c r="K68" s="93"/>
    </row>
    <row r="69" spans="5:11" x14ac:dyDescent="0.2">
      <c r="E69" s="93"/>
      <c r="K69" s="93"/>
    </row>
    <row r="70" spans="5:11" x14ac:dyDescent="0.2">
      <c r="E70" s="93"/>
      <c r="K70" s="93"/>
    </row>
    <row r="71" spans="5:11" x14ac:dyDescent="0.2">
      <c r="E71" s="93"/>
      <c r="K71" s="93"/>
    </row>
    <row r="72" spans="5:11" x14ac:dyDescent="0.2">
      <c r="E72" s="93"/>
      <c r="K72" s="93"/>
    </row>
    <row r="73" spans="5:11" x14ac:dyDescent="0.2">
      <c r="E73" s="93"/>
      <c r="K73" s="93"/>
    </row>
    <row r="74" spans="5:11" x14ac:dyDescent="0.2">
      <c r="E74" s="93"/>
      <c r="K74" s="93"/>
    </row>
    <row r="75" spans="5:11" x14ac:dyDescent="0.2">
      <c r="K75" s="93"/>
    </row>
    <row r="76" spans="5:11" x14ac:dyDescent="0.2">
      <c r="E76" s="93"/>
      <c r="K76" s="93"/>
    </row>
    <row r="77" spans="5:11" x14ac:dyDescent="0.2">
      <c r="K77" s="93"/>
    </row>
    <row r="78" spans="5:11" x14ac:dyDescent="0.2">
      <c r="K78" s="93"/>
    </row>
    <row r="79" spans="5:11" x14ac:dyDescent="0.2">
      <c r="K79" s="93"/>
    </row>
    <row r="80" spans="5:11" x14ac:dyDescent="0.2">
      <c r="K80" s="93"/>
    </row>
    <row r="81" spans="5:11" x14ac:dyDescent="0.2">
      <c r="E81" s="93"/>
      <c r="K81" s="93"/>
    </row>
    <row r="82" spans="5:11" x14ac:dyDescent="0.2">
      <c r="K82" s="93"/>
    </row>
    <row r="83" spans="5:11" x14ac:dyDescent="0.2">
      <c r="K83" s="93"/>
    </row>
    <row r="84" spans="5:11" x14ac:dyDescent="0.2">
      <c r="E84" s="93"/>
      <c r="K84" s="93"/>
    </row>
    <row r="85" spans="5:11" x14ac:dyDescent="0.2">
      <c r="E85" s="93"/>
      <c r="K85" s="93"/>
    </row>
    <row r="86" spans="5:11" x14ac:dyDescent="0.2">
      <c r="E86" s="93"/>
      <c r="K86" s="93"/>
    </row>
    <row r="87" spans="5:11" x14ac:dyDescent="0.2">
      <c r="E87" s="93"/>
      <c r="K87" s="93"/>
    </row>
    <row r="88" spans="5:11" x14ac:dyDescent="0.2">
      <c r="K88" s="93"/>
    </row>
    <row r="89" spans="5:11" x14ac:dyDescent="0.2">
      <c r="E89" s="93"/>
      <c r="K89" s="93"/>
    </row>
    <row r="90" spans="5:11" x14ac:dyDescent="0.2">
      <c r="E90" s="93"/>
      <c r="K90" s="93"/>
    </row>
    <row r="91" spans="5:11" x14ac:dyDescent="0.2">
      <c r="E91" s="93"/>
      <c r="K91" s="93"/>
    </row>
    <row r="92" spans="5:11" x14ac:dyDescent="0.2">
      <c r="E92" s="93"/>
      <c r="K92" s="93"/>
    </row>
    <row r="93" spans="5:11" x14ac:dyDescent="0.2">
      <c r="K93" s="93"/>
    </row>
    <row r="94" spans="5:11" x14ac:dyDescent="0.2">
      <c r="K94" s="93"/>
    </row>
    <row r="95" spans="5:11" x14ac:dyDescent="0.2">
      <c r="E95" s="93"/>
      <c r="K95" s="93"/>
    </row>
    <row r="96" spans="5:11" x14ac:dyDescent="0.2">
      <c r="K96" s="93"/>
    </row>
    <row r="97" spans="5:11" x14ac:dyDescent="0.2">
      <c r="E97" s="93"/>
      <c r="K97" s="93"/>
    </row>
    <row r="98" spans="5:11" x14ac:dyDescent="0.2">
      <c r="E98" s="93"/>
      <c r="K98" s="93"/>
    </row>
    <row r="99" spans="5:11" x14ac:dyDescent="0.2">
      <c r="K99" s="93"/>
    </row>
    <row r="100" spans="5:11" x14ac:dyDescent="0.2">
      <c r="E100" s="93"/>
      <c r="K100" s="93"/>
    </row>
    <row r="101" spans="5:11" x14ac:dyDescent="0.2">
      <c r="E101" s="93"/>
      <c r="K101" s="93"/>
    </row>
    <row r="102" spans="5:11" x14ac:dyDescent="0.2">
      <c r="K102" s="93"/>
    </row>
    <row r="103" spans="5:11" x14ac:dyDescent="0.2">
      <c r="E103" s="93"/>
      <c r="K103" s="93"/>
    </row>
    <row r="104" spans="5:11" x14ac:dyDescent="0.2">
      <c r="E104" s="93"/>
      <c r="K104" s="93"/>
    </row>
    <row r="105" spans="5:11" x14ac:dyDescent="0.2">
      <c r="E105" s="93"/>
      <c r="K105" s="93"/>
    </row>
    <row r="106" spans="5:11" x14ac:dyDescent="0.2">
      <c r="E106" s="93"/>
      <c r="K106" s="93"/>
    </row>
    <row r="107" spans="5:11" x14ac:dyDescent="0.2">
      <c r="E107" s="93"/>
      <c r="K107" s="93"/>
    </row>
    <row r="108" spans="5:11" x14ac:dyDescent="0.2">
      <c r="E108" s="93"/>
      <c r="K108" s="93"/>
    </row>
    <row r="109" spans="5:11" x14ac:dyDescent="0.2">
      <c r="E109" s="93"/>
      <c r="K109" s="93"/>
    </row>
    <row r="110" spans="5:11" x14ac:dyDescent="0.2">
      <c r="E110" s="93"/>
      <c r="K110" s="93"/>
    </row>
    <row r="111" spans="5:11" x14ac:dyDescent="0.2">
      <c r="E111" s="93"/>
      <c r="K111" s="93"/>
    </row>
    <row r="112" spans="5:11" x14ac:dyDescent="0.2">
      <c r="E112" s="93"/>
      <c r="K112" s="93"/>
    </row>
    <row r="113" spans="5:11" x14ac:dyDescent="0.2">
      <c r="E113" s="93"/>
      <c r="K113" s="93"/>
    </row>
    <row r="114" spans="5:11" x14ac:dyDescent="0.2">
      <c r="K114" s="93"/>
    </row>
    <row r="115" spans="5:11" x14ac:dyDescent="0.2">
      <c r="E115" s="93"/>
      <c r="K115" s="93"/>
    </row>
    <row r="116" spans="5:11" x14ac:dyDescent="0.2">
      <c r="K116" s="93"/>
    </row>
    <row r="117" spans="5:11" x14ac:dyDescent="0.2">
      <c r="E117" s="93"/>
      <c r="K117" s="93"/>
    </row>
    <row r="118" spans="5:11" x14ac:dyDescent="0.2">
      <c r="K118" s="93"/>
    </row>
    <row r="119" spans="5:11" x14ac:dyDescent="0.2">
      <c r="E119" s="93"/>
      <c r="K119" s="93"/>
    </row>
    <row r="120" spans="5:11" x14ac:dyDescent="0.2">
      <c r="E120" s="93"/>
      <c r="K120" s="93"/>
    </row>
    <row r="121" spans="5:11" x14ac:dyDescent="0.2">
      <c r="E121" s="93"/>
      <c r="K121" s="93"/>
    </row>
    <row r="122" spans="5:11" x14ac:dyDescent="0.2">
      <c r="K122" s="93"/>
    </row>
    <row r="123" spans="5:11" x14ac:dyDescent="0.2">
      <c r="E123" s="93"/>
      <c r="K123" s="93"/>
    </row>
    <row r="124" spans="5:11" x14ac:dyDescent="0.2">
      <c r="E124" s="93"/>
      <c r="K124" s="93"/>
    </row>
    <row r="125" spans="5:11" x14ac:dyDescent="0.2">
      <c r="E125" s="93"/>
      <c r="K125" s="93"/>
    </row>
    <row r="126" spans="5:11" x14ac:dyDescent="0.2">
      <c r="E126" s="93"/>
      <c r="K126" s="93"/>
    </row>
    <row r="127" spans="5:11" x14ac:dyDescent="0.2">
      <c r="E127" s="93"/>
      <c r="K127" s="93"/>
    </row>
    <row r="128" spans="5:11" x14ac:dyDescent="0.2">
      <c r="E128" s="93"/>
      <c r="K128" s="93"/>
    </row>
    <row r="129" spans="5:11" x14ac:dyDescent="0.2">
      <c r="E129" s="93"/>
      <c r="K129" s="93"/>
    </row>
    <row r="130" spans="5:11" x14ac:dyDescent="0.2">
      <c r="K130" s="93"/>
    </row>
    <row r="131" spans="5:11" x14ac:dyDescent="0.2">
      <c r="K131" s="93"/>
    </row>
    <row r="132" spans="5:11" x14ac:dyDescent="0.2">
      <c r="E132" s="93"/>
      <c r="K132" s="93"/>
    </row>
    <row r="133" spans="5:11" x14ac:dyDescent="0.2">
      <c r="E133" s="93"/>
      <c r="K133" s="93"/>
    </row>
    <row r="134" spans="5:11" x14ac:dyDescent="0.2">
      <c r="K134" s="93"/>
    </row>
    <row r="135" spans="5:11" x14ac:dyDescent="0.2">
      <c r="E135" s="93"/>
      <c r="K135" s="93"/>
    </row>
    <row r="136" spans="5:11" x14ac:dyDescent="0.2">
      <c r="E136" s="93"/>
      <c r="K136" s="93"/>
    </row>
    <row r="137" spans="5:11" x14ac:dyDescent="0.2">
      <c r="E137" s="93"/>
      <c r="K137" s="93"/>
    </row>
    <row r="138" spans="5:11" x14ac:dyDescent="0.2">
      <c r="K138" s="93"/>
    </row>
    <row r="139" spans="5:11" x14ac:dyDescent="0.2">
      <c r="E139" s="93"/>
      <c r="K139" s="93"/>
    </row>
    <row r="140" spans="5:11" x14ac:dyDescent="0.2">
      <c r="E140" s="93"/>
      <c r="K140" s="93"/>
    </row>
    <row r="141" spans="5:11" x14ac:dyDescent="0.2">
      <c r="E141" s="93"/>
      <c r="K141" s="93"/>
    </row>
    <row r="142" spans="5:11" x14ac:dyDescent="0.2">
      <c r="E142" s="93"/>
      <c r="K142" s="93"/>
    </row>
    <row r="143" spans="5:11" x14ac:dyDescent="0.2">
      <c r="E143" s="93"/>
      <c r="K143" s="93"/>
    </row>
    <row r="144" spans="5:11" x14ac:dyDescent="0.2">
      <c r="E144" s="93"/>
      <c r="K144" s="93"/>
    </row>
    <row r="145" spans="5:11" x14ac:dyDescent="0.2">
      <c r="K145" s="93"/>
    </row>
    <row r="146" spans="5:11" x14ac:dyDescent="0.2">
      <c r="E146" s="93"/>
      <c r="K146" s="93"/>
    </row>
    <row r="147" spans="5:11" x14ac:dyDescent="0.2">
      <c r="K147" s="93"/>
    </row>
    <row r="148" spans="5:11" x14ac:dyDescent="0.2">
      <c r="E148" s="93"/>
      <c r="K148" s="93"/>
    </row>
    <row r="149" spans="5:11" x14ac:dyDescent="0.2">
      <c r="E149" s="93"/>
      <c r="K149" s="93"/>
    </row>
    <row r="150" spans="5:11" x14ac:dyDescent="0.2">
      <c r="E150" s="93"/>
      <c r="K150" s="93"/>
    </row>
    <row r="151" spans="5:11" x14ac:dyDescent="0.2">
      <c r="E151" s="93"/>
      <c r="K151" s="93"/>
    </row>
    <row r="152" spans="5:11" x14ac:dyDescent="0.2">
      <c r="E152" s="93"/>
      <c r="K152" s="93"/>
    </row>
    <row r="153" spans="5:11" x14ac:dyDescent="0.2">
      <c r="K153" s="93"/>
    </row>
    <row r="154" spans="5:11" x14ac:dyDescent="0.2">
      <c r="E154" s="93"/>
      <c r="K154" s="93"/>
    </row>
    <row r="155" spans="5:11" x14ac:dyDescent="0.2">
      <c r="E155" s="93"/>
      <c r="K155" s="93"/>
    </row>
    <row r="156" spans="5:11" x14ac:dyDescent="0.2">
      <c r="E156" s="93"/>
      <c r="K156" s="93"/>
    </row>
    <row r="157" spans="5:11" x14ac:dyDescent="0.2">
      <c r="K157" s="93"/>
    </row>
    <row r="158" spans="5:11" x14ac:dyDescent="0.2">
      <c r="E158" s="93"/>
      <c r="K158" s="93"/>
    </row>
    <row r="159" spans="5:11" x14ac:dyDescent="0.2">
      <c r="E159" s="93"/>
      <c r="K159" s="93"/>
    </row>
    <row r="160" spans="5:11" x14ac:dyDescent="0.2">
      <c r="E160" s="93"/>
      <c r="K160" s="93"/>
    </row>
    <row r="161" spans="5:11" x14ac:dyDescent="0.2">
      <c r="E161" s="93"/>
      <c r="K161" s="93"/>
    </row>
    <row r="162" spans="5:11" x14ac:dyDescent="0.2">
      <c r="K162" s="93"/>
    </row>
    <row r="163" spans="5:11" x14ac:dyDescent="0.2">
      <c r="E163" s="93"/>
      <c r="K163" s="93"/>
    </row>
    <row r="164" spans="5:11" x14ac:dyDescent="0.2">
      <c r="E164" s="93"/>
      <c r="K164" s="93"/>
    </row>
    <row r="165" spans="5:11" x14ac:dyDescent="0.2">
      <c r="E165" s="93"/>
      <c r="K165" s="93"/>
    </row>
    <row r="166" spans="5:11" x14ac:dyDescent="0.2">
      <c r="E166" s="93"/>
      <c r="K166" s="93"/>
    </row>
    <row r="167" spans="5:11" x14ac:dyDescent="0.2">
      <c r="E167" s="93"/>
      <c r="K167" s="93"/>
    </row>
    <row r="168" spans="5:11" x14ac:dyDescent="0.2">
      <c r="E168" s="93"/>
      <c r="K168" s="93"/>
    </row>
    <row r="169" spans="5:11" x14ac:dyDescent="0.2">
      <c r="K169" s="93"/>
    </row>
    <row r="170" spans="5:11" x14ac:dyDescent="0.2">
      <c r="E170" s="93"/>
      <c r="K170" s="93"/>
    </row>
    <row r="171" spans="5:11" x14ac:dyDescent="0.2">
      <c r="E171" s="93"/>
      <c r="K171" s="93"/>
    </row>
    <row r="172" spans="5:11" x14ac:dyDescent="0.2">
      <c r="E172" s="93"/>
      <c r="K172" s="93"/>
    </row>
    <row r="173" spans="5:11" x14ac:dyDescent="0.2">
      <c r="E173" s="93"/>
      <c r="K173" s="93"/>
    </row>
    <row r="174" spans="5:11" x14ac:dyDescent="0.2">
      <c r="E174" s="93"/>
      <c r="K174" s="93"/>
    </row>
    <row r="175" spans="5:11" x14ac:dyDescent="0.2">
      <c r="K175" s="93"/>
    </row>
    <row r="176" spans="5:11" x14ac:dyDescent="0.2">
      <c r="E176" s="93"/>
      <c r="K176" s="93"/>
    </row>
    <row r="177" spans="5:11" x14ac:dyDescent="0.2">
      <c r="E177" s="93"/>
      <c r="K177" s="93"/>
    </row>
    <row r="178" spans="5:11" x14ac:dyDescent="0.2">
      <c r="E178" s="93"/>
      <c r="K178" s="93"/>
    </row>
    <row r="179" spans="5:11" x14ac:dyDescent="0.2">
      <c r="K179" s="93"/>
    </row>
    <row r="180" spans="5:11" x14ac:dyDescent="0.2">
      <c r="E180" s="93"/>
      <c r="K180" s="93"/>
    </row>
    <row r="181" spans="5:11" x14ac:dyDescent="0.2">
      <c r="E181" s="93"/>
      <c r="K181" s="93"/>
    </row>
    <row r="182" spans="5:11" x14ac:dyDescent="0.2">
      <c r="K182" s="93"/>
    </row>
    <row r="183" spans="5:11" x14ac:dyDescent="0.2">
      <c r="E183" s="93"/>
      <c r="K183" s="93"/>
    </row>
    <row r="184" spans="5:11" x14ac:dyDescent="0.2">
      <c r="K184" s="93"/>
    </row>
    <row r="185" spans="5:11" x14ac:dyDescent="0.2">
      <c r="E185" s="93"/>
      <c r="K185" s="93"/>
    </row>
    <row r="186" spans="5:11" x14ac:dyDescent="0.2">
      <c r="E186" s="93"/>
      <c r="K186" s="93"/>
    </row>
    <row r="187" spans="5:11" x14ac:dyDescent="0.2">
      <c r="E187" s="93"/>
      <c r="K187" s="93"/>
    </row>
    <row r="188" spans="5:11" x14ac:dyDescent="0.2">
      <c r="E188" s="93"/>
      <c r="K188" s="93"/>
    </row>
    <row r="189" spans="5:11" x14ac:dyDescent="0.2">
      <c r="E189" s="93"/>
      <c r="K189" s="93"/>
    </row>
    <row r="190" spans="5:11" x14ac:dyDescent="0.2">
      <c r="K190" s="93"/>
    </row>
    <row r="191" spans="5:11" x14ac:dyDescent="0.2">
      <c r="K191" s="93"/>
    </row>
    <row r="192" spans="5:11" x14ac:dyDescent="0.2">
      <c r="K192" s="93"/>
    </row>
    <row r="193" spans="5:11" x14ac:dyDescent="0.2">
      <c r="K193" s="93"/>
    </row>
    <row r="194" spans="5:11" x14ac:dyDescent="0.2">
      <c r="K194" s="93"/>
    </row>
    <row r="195" spans="5:11" x14ac:dyDescent="0.2">
      <c r="E195" s="93"/>
      <c r="K195" s="93"/>
    </row>
    <row r="196" spans="5:11" x14ac:dyDescent="0.2">
      <c r="E196" s="93"/>
      <c r="K196" s="93"/>
    </row>
    <row r="197" spans="5:11" x14ac:dyDescent="0.2">
      <c r="E197" s="93"/>
      <c r="K197" s="93"/>
    </row>
    <row r="198" spans="5:11" x14ac:dyDescent="0.2">
      <c r="K198" s="93"/>
    </row>
    <row r="199" spans="5:11" x14ac:dyDescent="0.2">
      <c r="E199" s="93"/>
      <c r="K199" s="93"/>
    </row>
    <row r="200" spans="5:11" x14ac:dyDescent="0.2">
      <c r="E200" s="93"/>
      <c r="K200" s="93"/>
    </row>
    <row r="201" spans="5:11" x14ac:dyDescent="0.2">
      <c r="E201" s="93"/>
      <c r="K201" s="93"/>
    </row>
    <row r="202" spans="5:11" x14ac:dyDescent="0.2">
      <c r="E202" s="93"/>
      <c r="K202" s="93"/>
    </row>
    <row r="203" spans="5:11" x14ac:dyDescent="0.2">
      <c r="K203" s="93"/>
    </row>
    <row r="204" spans="5:11" x14ac:dyDescent="0.2">
      <c r="K204" s="93"/>
    </row>
    <row r="205" spans="5:11" x14ac:dyDescent="0.2">
      <c r="E205" s="93"/>
      <c r="K205" s="93"/>
    </row>
    <row r="206" spans="5:11" x14ac:dyDescent="0.2">
      <c r="K206" s="93"/>
    </row>
    <row r="207" spans="5:11" x14ac:dyDescent="0.2">
      <c r="E207" s="93"/>
      <c r="K207" s="93"/>
    </row>
    <row r="208" spans="5:11" x14ac:dyDescent="0.2">
      <c r="E208" s="93"/>
      <c r="K208" s="93"/>
    </row>
    <row r="209" spans="5:11" x14ac:dyDescent="0.2">
      <c r="E209" s="93"/>
      <c r="K209" s="93"/>
    </row>
    <row r="210" spans="5:11" x14ac:dyDescent="0.2">
      <c r="E210" s="93"/>
      <c r="K210" s="93"/>
    </row>
    <row r="211" spans="5:11" x14ac:dyDescent="0.2">
      <c r="E211" s="93"/>
      <c r="K211" s="93"/>
    </row>
    <row r="212" spans="5:11" x14ac:dyDescent="0.2">
      <c r="E212" s="93"/>
      <c r="K212" s="93"/>
    </row>
    <row r="213" spans="5:11" x14ac:dyDescent="0.2">
      <c r="E213" s="93"/>
      <c r="K213" s="93"/>
    </row>
    <row r="214" spans="5:11" x14ac:dyDescent="0.2">
      <c r="E214" s="93"/>
      <c r="K214" s="93"/>
    </row>
    <row r="215" spans="5:11" x14ac:dyDescent="0.2">
      <c r="E215" s="93"/>
      <c r="K215" s="93"/>
    </row>
    <row r="216" spans="5:11" x14ac:dyDescent="0.2">
      <c r="E216" s="93"/>
      <c r="K216" s="93"/>
    </row>
    <row r="217" spans="5:11" x14ac:dyDescent="0.2">
      <c r="E217" s="93"/>
      <c r="K217" s="93"/>
    </row>
    <row r="218" spans="5:11" x14ac:dyDescent="0.2">
      <c r="K218" s="93"/>
    </row>
    <row r="219" spans="5:11" x14ac:dyDescent="0.2">
      <c r="E219" s="93"/>
      <c r="K219" s="93"/>
    </row>
    <row r="220" spans="5:11" x14ac:dyDescent="0.2">
      <c r="K220" s="93"/>
    </row>
    <row r="221" spans="5:11" x14ac:dyDescent="0.2">
      <c r="E221" s="93"/>
      <c r="K221" s="93"/>
    </row>
    <row r="222" spans="5:11" x14ac:dyDescent="0.2">
      <c r="E222" s="93"/>
      <c r="K222" s="93"/>
    </row>
    <row r="223" spans="5:11" x14ac:dyDescent="0.2">
      <c r="E223" s="93"/>
      <c r="K223" s="93"/>
    </row>
    <row r="224" spans="5:11" x14ac:dyDescent="0.2">
      <c r="K224" s="93"/>
    </row>
    <row r="225" spans="5:11" x14ac:dyDescent="0.2">
      <c r="E225" s="93"/>
      <c r="K225" s="93"/>
    </row>
    <row r="226" spans="5:11" x14ac:dyDescent="0.2">
      <c r="E226" s="93"/>
      <c r="K226" s="93"/>
    </row>
    <row r="227" spans="5:11" x14ac:dyDescent="0.2">
      <c r="E227" s="93"/>
      <c r="K227" s="93"/>
    </row>
    <row r="228" spans="5:11" x14ac:dyDescent="0.2">
      <c r="E228" s="93"/>
      <c r="K228" s="93"/>
    </row>
    <row r="229" spans="5:11" x14ac:dyDescent="0.2">
      <c r="K229" s="93"/>
    </row>
    <row r="230" spans="5:11" x14ac:dyDescent="0.2">
      <c r="E230" s="93"/>
      <c r="K230" s="93"/>
    </row>
    <row r="231" spans="5:11" x14ac:dyDescent="0.2">
      <c r="K231" s="93"/>
    </row>
    <row r="232" spans="5:11" x14ac:dyDescent="0.2">
      <c r="E232" s="93"/>
      <c r="K232" s="93"/>
    </row>
    <row r="233" spans="5:11" x14ac:dyDescent="0.2">
      <c r="E233" s="93"/>
      <c r="K233" s="93"/>
    </row>
    <row r="234" spans="5:11" x14ac:dyDescent="0.2">
      <c r="E234" s="93"/>
      <c r="K234" s="93"/>
    </row>
    <row r="235" spans="5:11" x14ac:dyDescent="0.2">
      <c r="E235" s="93"/>
      <c r="K235" s="93"/>
    </row>
    <row r="236" spans="5:11" x14ac:dyDescent="0.2">
      <c r="K236" s="93"/>
    </row>
    <row r="237" spans="5:11" x14ac:dyDescent="0.2">
      <c r="E237" s="93"/>
      <c r="K237" s="93"/>
    </row>
    <row r="238" spans="5:11" x14ac:dyDescent="0.2">
      <c r="K238" s="93"/>
    </row>
    <row r="239" spans="5:11" x14ac:dyDescent="0.2">
      <c r="K239" s="93"/>
    </row>
    <row r="240" spans="5:11" x14ac:dyDescent="0.2">
      <c r="K240" s="93"/>
    </row>
    <row r="241" spans="5:11" x14ac:dyDescent="0.2">
      <c r="K241" s="93"/>
    </row>
    <row r="242" spans="5:11" x14ac:dyDescent="0.2">
      <c r="E242" s="93"/>
      <c r="K242" s="93"/>
    </row>
    <row r="243" spans="5:11" x14ac:dyDescent="0.2">
      <c r="K243" s="93"/>
    </row>
    <row r="244" spans="5:11" x14ac:dyDescent="0.2">
      <c r="E244" s="93"/>
      <c r="K244" s="93"/>
    </row>
    <row r="245" spans="5:11" x14ac:dyDescent="0.2">
      <c r="E245" s="93"/>
      <c r="K245" s="93"/>
    </row>
    <row r="246" spans="5:11" x14ac:dyDescent="0.2">
      <c r="E246" s="93"/>
      <c r="K246" s="93"/>
    </row>
    <row r="247" spans="5:11" x14ac:dyDescent="0.2">
      <c r="E247" s="93"/>
      <c r="K247" s="93"/>
    </row>
    <row r="248" spans="5:11" x14ac:dyDescent="0.2">
      <c r="K248" s="93"/>
    </row>
    <row r="249" spans="5:11" x14ac:dyDescent="0.2">
      <c r="K249" s="93"/>
    </row>
    <row r="250" spans="5:11" x14ac:dyDescent="0.2">
      <c r="E250" s="93"/>
      <c r="K250" s="93"/>
    </row>
    <row r="251" spans="5:11" x14ac:dyDescent="0.2">
      <c r="K251" s="93"/>
    </row>
    <row r="252" spans="5:11" x14ac:dyDescent="0.2">
      <c r="K252" s="93"/>
    </row>
    <row r="253" spans="5:11" x14ac:dyDescent="0.2">
      <c r="K253" s="93"/>
    </row>
    <row r="254" spans="5:11" x14ac:dyDescent="0.2">
      <c r="E254" s="93"/>
      <c r="K254" s="93"/>
    </row>
    <row r="255" spans="5:11" x14ac:dyDescent="0.2">
      <c r="E255" s="93"/>
      <c r="K255" s="93"/>
    </row>
    <row r="256" spans="5:11" x14ac:dyDescent="0.2">
      <c r="K256" s="93"/>
    </row>
    <row r="257" spans="5:11" x14ac:dyDescent="0.2">
      <c r="E257" s="93"/>
      <c r="K257" s="93"/>
    </row>
    <row r="258" spans="5:11" x14ac:dyDescent="0.2">
      <c r="E258" s="93"/>
      <c r="K258" s="93"/>
    </row>
    <row r="259" spans="5:11" x14ac:dyDescent="0.2">
      <c r="E259" s="93"/>
      <c r="K259" s="93"/>
    </row>
    <row r="260" spans="5:11" x14ac:dyDescent="0.2">
      <c r="E260" s="93"/>
      <c r="K260" s="93"/>
    </row>
    <row r="261" spans="5:11" x14ac:dyDescent="0.2">
      <c r="K261" s="93"/>
    </row>
    <row r="262" spans="5:11" x14ac:dyDescent="0.2">
      <c r="K262" s="93"/>
    </row>
    <row r="263" spans="5:11" x14ac:dyDescent="0.2">
      <c r="E263" s="93"/>
      <c r="K263" s="93"/>
    </row>
    <row r="264" spans="5:11" x14ac:dyDescent="0.2">
      <c r="E264" s="93"/>
      <c r="K264" s="93"/>
    </row>
    <row r="265" spans="5:11" x14ac:dyDescent="0.2">
      <c r="E265" s="93"/>
      <c r="K265" s="93"/>
    </row>
    <row r="266" spans="5:11" x14ac:dyDescent="0.2">
      <c r="E266" s="93"/>
      <c r="K266" s="93"/>
    </row>
    <row r="267" spans="5:11" x14ac:dyDescent="0.2">
      <c r="E267" s="93"/>
      <c r="K267" s="93"/>
    </row>
    <row r="268" spans="5:11" x14ac:dyDescent="0.2">
      <c r="K268" s="93"/>
    </row>
    <row r="269" spans="5:11" x14ac:dyDescent="0.2">
      <c r="E269" s="93"/>
      <c r="K269" s="93"/>
    </row>
    <row r="270" spans="5:11" x14ac:dyDescent="0.2">
      <c r="E270" s="93"/>
      <c r="K270" s="93"/>
    </row>
    <row r="271" spans="5:11" x14ac:dyDescent="0.2">
      <c r="E271" s="93"/>
      <c r="K271" s="93"/>
    </row>
    <row r="272" spans="5:11" x14ac:dyDescent="0.2">
      <c r="E272" s="93"/>
      <c r="K272" s="93"/>
    </row>
    <row r="273" spans="5:11" x14ac:dyDescent="0.2">
      <c r="E273" s="93"/>
      <c r="K273" s="93"/>
    </row>
    <row r="274" spans="5:11" x14ac:dyDescent="0.2">
      <c r="E274" s="93"/>
      <c r="K274" s="93"/>
    </row>
    <row r="275" spans="5:11" x14ac:dyDescent="0.2">
      <c r="K275" s="93"/>
    </row>
    <row r="276" spans="5:11" x14ac:dyDescent="0.2">
      <c r="E276" s="93"/>
      <c r="K276" s="93"/>
    </row>
    <row r="277" spans="5:11" x14ac:dyDescent="0.2">
      <c r="E277" s="93"/>
      <c r="K277" s="93"/>
    </row>
    <row r="278" spans="5:11" x14ac:dyDescent="0.2">
      <c r="K278" s="93"/>
    </row>
    <row r="279" spans="5:11" x14ac:dyDescent="0.2">
      <c r="E279" s="93"/>
      <c r="K279" s="93"/>
    </row>
    <row r="280" spans="5:11" x14ac:dyDescent="0.2">
      <c r="E280" s="93"/>
      <c r="K280" s="93"/>
    </row>
    <row r="281" spans="5:11" x14ac:dyDescent="0.2">
      <c r="E281" s="93"/>
      <c r="K281" s="93"/>
    </row>
    <row r="282" spans="5:11" x14ac:dyDescent="0.2">
      <c r="E282" s="93"/>
      <c r="K282" s="93"/>
    </row>
    <row r="283" spans="5:11" x14ac:dyDescent="0.2">
      <c r="E283" s="93"/>
      <c r="K283" s="93"/>
    </row>
    <row r="284" spans="5:11" x14ac:dyDescent="0.2">
      <c r="E284" s="93"/>
      <c r="K284" s="93"/>
    </row>
    <row r="285" spans="5:11" x14ac:dyDescent="0.2">
      <c r="K285" s="93"/>
    </row>
    <row r="286" spans="5:11" x14ac:dyDescent="0.2">
      <c r="E286" s="93"/>
      <c r="K286" s="93"/>
    </row>
    <row r="287" spans="5:11" x14ac:dyDescent="0.2">
      <c r="E287" s="93"/>
      <c r="K287" s="93"/>
    </row>
    <row r="288" spans="5:11" x14ac:dyDescent="0.2">
      <c r="E288" s="93"/>
      <c r="K288" s="93"/>
    </row>
    <row r="289" spans="5:11" x14ac:dyDescent="0.2">
      <c r="E289" s="93"/>
      <c r="K289" s="93"/>
    </row>
    <row r="290" spans="5:11" x14ac:dyDescent="0.2">
      <c r="E290" s="93"/>
      <c r="K290" s="93"/>
    </row>
    <row r="291" spans="5:11" x14ac:dyDescent="0.2">
      <c r="E291" s="93"/>
      <c r="K291" s="93"/>
    </row>
    <row r="292" spans="5:11" x14ac:dyDescent="0.2">
      <c r="E292" s="93"/>
      <c r="K292" s="93"/>
    </row>
    <row r="293" spans="5:11" x14ac:dyDescent="0.2">
      <c r="E293" s="93"/>
      <c r="K293" s="93"/>
    </row>
    <row r="294" spans="5:11" x14ac:dyDescent="0.2">
      <c r="E294" s="93"/>
      <c r="K294" s="93"/>
    </row>
    <row r="295" spans="5:11" x14ac:dyDescent="0.2">
      <c r="E295" s="93"/>
      <c r="K295" s="93"/>
    </row>
    <row r="296" spans="5:11" x14ac:dyDescent="0.2">
      <c r="E296" s="93"/>
      <c r="K296" s="93"/>
    </row>
    <row r="297" spans="5:11" x14ac:dyDescent="0.2">
      <c r="E297" s="93"/>
      <c r="K297" s="93"/>
    </row>
    <row r="298" spans="5:11" x14ac:dyDescent="0.2">
      <c r="E298" s="93"/>
      <c r="K298" s="93"/>
    </row>
    <row r="299" spans="5:11" x14ac:dyDescent="0.2">
      <c r="E299" s="93"/>
      <c r="K299" s="93"/>
    </row>
    <row r="300" spans="5:11" x14ac:dyDescent="0.2">
      <c r="E300" s="93"/>
      <c r="K300" s="93"/>
    </row>
    <row r="301" spans="5:11" x14ac:dyDescent="0.2">
      <c r="K301" s="93"/>
    </row>
    <row r="302" spans="5:11" x14ac:dyDescent="0.2">
      <c r="K302" s="93"/>
    </row>
    <row r="303" spans="5:11" x14ac:dyDescent="0.2">
      <c r="K303" s="93"/>
    </row>
    <row r="304" spans="5:11" x14ac:dyDescent="0.2">
      <c r="K304" s="93"/>
    </row>
    <row r="305" spans="5:11" x14ac:dyDescent="0.2">
      <c r="E305" s="93"/>
      <c r="K305" s="93"/>
    </row>
    <row r="306" spans="5:11" x14ac:dyDescent="0.2">
      <c r="E306" s="93"/>
      <c r="K306" s="93"/>
    </row>
    <row r="307" spans="5:11" x14ac:dyDescent="0.2">
      <c r="K307" s="93"/>
    </row>
    <row r="308" spans="5:11" x14ac:dyDescent="0.2">
      <c r="K308" s="93"/>
    </row>
    <row r="309" spans="5:11" x14ac:dyDescent="0.2">
      <c r="K309" s="93"/>
    </row>
    <row r="310" spans="5:11" x14ac:dyDescent="0.2">
      <c r="E310" s="93"/>
      <c r="K310" s="93"/>
    </row>
    <row r="311" spans="5:11" x14ac:dyDescent="0.2">
      <c r="E311" s="93"/>
      <c r="K311" s="93"/>
    </row>
    <row r="312" spans="5:11" x14ac:dyDescent="0.2">
      <c r="K312" s="93"/>
    </row>
    <row r="313" spans="5:11" x14ac:dyDescent="0.2">
      <c r="E313" s="93"/>
      <c r="K313" s="93"/>
    </row>
    <row r="314" spans="5:11" x14ac:dyDescent="0.2">
      <c r="E314" s="93"/>
      <c r="K314" s="93"/>
    </row>
    <row r="315" spans="5:11" x14ac:dyDescent="0.2">
      <c r="K315" s="93"/>
    </row>
    <row r="316" spans="5:11" x14ac:dyDescent="0.2">
      <c r="E316" s="93"/>
      <c r="K316" s="93"/>
    </row>
    <row r="317" spans="5:11" x14ac:dyDescent="0.2">
      <c r="E317" s="93"/>
      <c r="K317" s="93"/>
    </row>
    <row r="318" spans="5:11" x14ac:dyDescent="0.2">
      <c r="E318" s="93"/>
      <c r="K318" s="93"/>
    </row>
    <row r="319" spans="5:11" x14ac:dyDescent="0.2">
      <c r="K319" s="93"/>
    </row>
    <row r="320" spans="5:11" x14ac:dyDescent="0.2">
      <c r="E320" s="93"/>
      <c r="K320" s="93"/>
    </row>
    <row r="321" spans="5:11" x14ac:dyDescent="0.2">
      <c r="E321" s="93"/>
      <c r="K321" s="93"/>
    </row>
    <row r="322" spans="5:11" x14ac:dyDescent="0.2">
      <c r="E322" s="93"/>
      <c r="K322" s="93"/>
    </row>
    <row r="323" spans="5:11" x14ac:dyDescent="0.2">
      <c r="E323" s="93"/>
      <c r="K323" s="93"/>
    </row>
    <row r="324" spans="5:11" x14ac:dyDescent="0.2">
      <c r="K324" s="93"/>
    </row>
    <row r="325" spans="5:11" x14ac:dyDescent="0.2">
      <c r="E325" s="93"/>
      <c r="K325" s="93"/>
    </row>
    <row r="326" spans="5:11" x14ac:dyDescent="0.2">
      <c r="E326" s="93"/>
      <c r="K326" s="93"/>
    </row>
    <row r="327" spans="5:11" x14ac:dyDescent="0.2">
      <c r="E327" s="93"/>
      <c r="K327" s="93"/>
    </row>
    <row r="328" spans="5:11" x14ac:dyDescent="0.2">
      <c r="E328" s="93"/>
      <c r="K328" s="93"/>
    </row>
    <row r="329" spans="5:11" x14ac:dyDescent="0.2">
      <c r="E329" s="93"/>
      <c r="K329" s="93"/>
    </row>
    <row r="330" spans="5:11" x14ac:dyDescent="0.2">
      <c r="E330" s="93"/>
      <c r="K330" s="93"/>
    </row>
    <row r="331" spans="5:11" x14ac:dyDescent="0.2">
      <c r="E331" s="93"/>
      <c r="K331" s="93"/>
    </row>
    <row r="332" spans="5:11" x14ac:dyDescent="0.2">
      <c r="E332" s="93"/>
      <c r="K332" s="93"/>
    </row>
    <row r="333" spans="5:11" x14ac:dyDescent="0.2">
      <c r="K333" s="93"/>
    </row>
    <row r="334" spans="5:11" x14ac:dyDescent="0.2">
      <c r="K334" s="93"/>
    </row>
    <row r="335" spans="5:11" x14ac:dyDescent="0.2">
      <c r="E335" s="93"/>
      <c r="K335" s="93"/>
    </row>
    <row r="336" spans="5:11" x14ac:dyDescent="0.2">
      <c r="E336" s="93"/>
      <c r="K336" s="93"/>
    </row>
    <row r="337" spans="5:11" x14ac:dyDescent="0.2">
      <c r="E337" s="93"/>
      <c r="K337" s="93"/>
    </row>
    <row r="338" spans="5:11" x14ac:dyDescent="0.2">
      <c r="K338" s="93"/>
    </row>
    <row r="339" spans="5:11" x14ac:dyDescent="0.2">
      <c r="E339" s="93"/>
      <c r="K339" s="93"/>
    </row>
    <row r="340" spans="5:11" x14ac:dyDescent="0.2">
      <c r="E340" s="93"/>
      <c r="K340" s="93"/>
    </row>
    <row r="341" spans="5:11" x14ac:dyDescent="0.2">
      <c r="K341" s="93"/>
    </row>
    <row r="342" spans="5:11" x14ac:dyDescent="0.2">
      <c r="E342" s="93"/>
      <c r="K342" s="93"/>
    </row>
    <row r="343" spans="5:11" x14ac:dyDescent="0.2">
      <c r="E343" s="93"/>
      <c r="K343" s="93"/>
    </row>
    <row r="344" spans="5:11" x14ac:dyDescent="0.2">
      <c r="E344" s="93"/>
      <c r="K344" s="93"/>
    </row>
    <row r="345" spans="5:11" x14ac:dyDescent="0.2">
      <c r="E345" s="93"/>
      <c r="K345" s="93"/>
    </row>
    <row r="346" spans="5:11" x14ac:dyDescent="0.2">
      <c r="E346" s="93"/>
      <c r="K346" s="93"/>
    </row>
    <row r="347" spans="5:11" x14ac:dyDescent="0.2">
      <c r="E347" s="93"/>
      <c r="K347" s="93"/>
    </row>
    <row r="348" spans="5:11" x14ac:dyDescent="0.2">
      <c r="K348" s="93"/>
    </row>
    <row r="349" spans="5:11" x14ac:dyDescent="0.2">
      <c r="E349" s="93"/>
      <c r="K349" s="93"/>
    </row>
    <row r="350" spans="5:11" x14ac:dyDescent="0.2">
      <c r="E350" s="93"/>
      <c r="K350" s="93"/>
    </row>
    <row r="351" spans="5:11" x14ac:dyDescent="0.2">
      <c r="E351" s="93"/>
      <c r="K351" s="93"/>
    </row>
    <row r="352" spans="5:11" x14ac:dyDescent="0.2">
      <c r="E352" s="93"/>
      <c r="K352" s="93"/>
    </row>
    <row r="353" spans="5:11" x14ac:dyDescent="0.2">
      <c r="E353" s="93"/>
      <c r="K353" s="93"/>
    </row>
    <row r="354" spans="5:11" x14ac:dyDescent="0.2">
      <c r="E354" s="93"/>
      <c r="K354" s="93"/>
    </row>
    <row r="355" spans="5:11" x14ac:dyDescent="0.2">
      <c r="E355" s="93"/>
      <c r="K355" s="93"/>
    </row>
    <row r="356" spans="5:11" x14ac:dyDescent="0.2">
      <c r="E356" s="93"/>
      <c r="K356" s="93"/>
    </row>
    <row r="357" spans="5:11" x14ac:dyDescent="0.2">
      <c r="E357" s="93"/>
      <c r="K357" s="93"/>
    </row>
    <row r="358" spans="5:11" x14ac:dyDescent="0.2">
      <c r="K358" s="93"/>
    </row>
    <row r="359" spans="5:11" x14ac:dyDescent="0.2">
      <c r="K359" s="93"/>
    </row>
    <row r="360" spans="5:11" x14ac:dyDescent="0.2">
      <c r="E360" s="93"/>
      <c r="K360" s="93"/>
    </row>
    <row r="361" spans="5:11" x14ac:dyDescent="0.2">
      <c r="E361" s="93"/>
      <c r="K361" s="93"/>
    </row>
    <row r="362" spans="5:11" x14ac:dyDescent="0.2">
      <c r="E362" s="93"/>
      <c r="K362" s="93"/>
    </row>
    <row r="363" spans="5:11" x14ac:dyDescent="0.2">
      <c r="E363" s="93"/>
      <c r="K363" s="93"/>
    </row>
    <row r="364" spans="5:11" x14ac:dyDescent="0.2">
      <c r="E364" s="93"/>
      <c r="K364" s="93"/>
    </row>
    <row r="365" spans="5:11" x14ac:dyDescent="0.2">
      <c r="E365" s="93"/>
      <c r="K365" s="93"/>
    </row>
    <row r="366" spans="5:11" x14ac:dyDescent="0.2">
      <c r="E366" s="93"/>
      <c r="K366" s="93"/>
    </row>
    <row r="367" spans="5:11" x14ac:dyDescent="0.2">
      <c r="E367" s="93"/>
      <c r="K367" s="93"/>
    </row>
    <row r="368" spans="5:11" x14ac:dyDescent="0.2">
      <c r="K368" s="93"/>
    </row>
    <row r="369" spans="5:11" x14ac:dyDescent="0.2">
      <c r="E369" s="93"/>
      <c r="K369" s="93"/>
    </row>
    <row r="370" spans="5:11" x14ac:dyDescent="0.2">
      <c r="E370" s="93"/>
      <c r="K370" s="93"/>
    </row>
    <row r="371" spans="5:11" x14ac:dyDescent="0.2">
      <c r="E371" s="93"/>
      <c r="K371" s="93"/>
    </row>
    <row r="372" spans="5:11" x14ac:dyDescent="0.2">
      <c r="E372" s="93"/>
      <c r="K372" s="93"/>
    </row>
    <row r="373" spans="5:11" x14ac:dyDescent="0.2">
      <c r="E373" s="93"/>
      <c r="K373" s="93"/>
    </row>
    <row r="374" spans="5:11" x14ac:dyDescent="0.2">
      <c r="K374" s="93"/>
    </row>
    <row r="375" spans="5:11" x14ac:dyDescent="0.2">
      <c r="E375" s="93"/>
      <c r="K375" s="93"/>
    </row>
    <row r="376" spans="5:11" x14ac:dyDescent="0.2">
      <c r="K376" s="93"/>
    </row>
    <row r="377" spans="5:11" x14ac:dyDescent="0.2">
      <c r="K377" s="93"/>
    </row>
    <row r="378" spans="5:11" x14ac:dyDescent="0.2">
      <c r="E378" s="93"/>
      <c r="K378" s="93"/>
    </row>
    <row r="379" spans="5:11" x14ac:dyDescent="0.2">
      <c r="E379" s="93"/>
      <c r="K379" s="93"/>
    </row>
    <row r="380" spans="5:11" x14ac:dyDescent="0.2">
      <c r="E380" s="93"/>
      <c r="K380" s="93"/>
    </row>
    <row r="381" spans="5:11" x14ac:dyDescent="0.2">
      <c r="E381" s="93"/>
      <c r="K381" s="93"/>
    </row>
    <row r="382" spans="5:11" x14ac:dyDescent="0.2">
      <c r="E382" s="93"/>
      <c r="K382" s="93"/>
    </row>
    <row r="383" spans="5:11" x14ac:dyDescent="0.2">
      <c r="E383" s="93"/>
      <c r="K383" s="93"/>
    </row>
    <row r="384" spans="5:11" x14ac:dyDescent="0.2">
      <c r="E384" s="93"/>
      <c r="K384" s="93"/>
    </row>
    <row r="385" spans="5:11" x14ac:dyDescent="0.2">
      <c r="E385" s="93"/>
      <c r="K385" s="93"/>
    </row>
    <row r="386" spans="5:11" x14ac:dyDescent="0.2">
      <c r="E386" s="93"/>
      <c r="K386" s="93"/>
    </row>
    <row r="387" spans="5:11" x14ac:dyDescent="0.2">
      <c r="E387" s="93"/>
      <c r="K387" s="93"/>
    </row>
    <row r="388" spans="5:11" x14ac:dyDescent="0.2">
      <c r="K388" s="93"/>
    </row>
    <row r="389" spans="5:11" x14ac:dyDescent="0.2">
      <c r="E389" s="93"/>
      <c r="K389" s="93"/>
    </row>
    <row r="390" spans="5:11" x14ac:dyDescent="0.2">
      <c r="E390" s="93"/>
      <c r="K390" s="93"/>
    </row>
    <row r="391" spans="5:11" x14ac:dyDescent="0.2">
      <c r="E391" s="93"/>
      <c r="K391" s="93"/>
    </row>
    <row r="392" spans="5:11" x14ac:dyDescent="0.2">
      <c r="E392" s="93"/>
      <c r="K392" s="93"/>
    </row>
    <row r="393" spans="5:11" x14ac:dyDescent="0.2">
      <c r="K393" s="93"/>
    </row>
    <row r="394" spans="5:11" x14ac:dyDescent="0.2">
      <c r="E394" s="93"/>
      <c r="K394" s="93"/>
    </row>
    <row r="395" spans="5:11" x14ac:dyDescent="0.2">
      <c r="K395" s="93"/>
    </row>
    <row r="396" spans="5:11" x14ac:dyDescent="0.2">
      <c r="K396" s="93"/>
    </row>
    <row r="397" spans="5:11" x14ac:dyDescent="0.2">
      <c r="K397" s="93"/>
    </row>
    <row r="398" spans="5:11" x14ac:dyDescent="0.2">
      <c r="E398" s="93"/>
      <c r="K398" s="93"/>
    </row>
    <row r="399" spans="5:11" x14ac:dyDescent="0.2">
      <c r="E399" s="93"/>
      <c r="K399" s="93"/>
    </row>
    <row r="400" spans="5:11" x14ac:dyDescent="0.2">
      <c r="E400" s="93"/>
      <c r="K400" s="93"/>
    </row>
    <row r="401" spans="5:11" x14ac:dyDescent="0.2">
      <c r="E401" s="93"/>
      <c r="K401" s="93"/>
    </row>
    <row r="402" spans="5:11" x14ac:dyDescent="0.2">
      <c r="E402" s="93"/>
      <c r="K402" s="93"/>
    </row>
    <row r="403" spans="5:11" x14ac:dyDescent="0.2">
      <c r="K403" s="93"/>
    </row>
    <row r="404" spans="5:11" x14ac:dyDescent="0.2">
      <c r="E404" s="93"/>
      <c r="K404" s="93"/>
    </row>
    <row r="405" spans="5:11" x14ac:dyDescent="0.2">
      <c r="E405" s="93"/>
      <c r="K405" s="93"/>
    </row>
    <row r="406" spans="5:11" x14ac:dyDescent="0.2">
      <c r="E406" s="93"/>
      <c r="K406" s="93"/>
    </row>
    <row r="407" spans="5:11" x14ac:dyDescent="0.2">
      <c r="E407" s="93"/>
      <c r="K407" s="93"/>
    </row>
    <row r="408" spans="5:11" x14ac:dyDescent="0.2">
      <c r="E408" s="93"/>
      <c r="K408" s="93"/>
    </row>
    <row r="409" spans="5:11" x14ac:dyDescent="0.2">
      <c r="E409" s="93"/>
      <c r="K409" s="93"/>
    </row>
    <row r="410" spans="5:11" x14ac:dyDescent="0.2">
      <c r="E410" s="93"/>
      <c r="K410" s="93"/>
    </row>
    <row r="411" spans="5:11" x14ac:dyDescent="0.2">
      <c r="E411" s="93"/>
      <c r="K411" s="93"/>
    </row>
    <row r="412" spans="5:11" x14ac:dyDescent="0.2">
      <c r="E412" s="93"/>
      <c r="K412" s="93"/>
    </row>
    <row r="413" spans="5:11" x14ac:dyDescent="0.2">
      <c r="K413" s="93"/>
    </row>
    <row r="414" spans="5:11" x14ac:dyDescent="0.2">
      <c r="E414" s="93"/>
      <c r="K414" s="93"/>
    </row>
    <row r="415" spans="5:11" x14ac:dyDescent="0.2">
      <c r="K415" s="93"/>
    </row>
    <row r="416" spans="5:11" x14ac:dyDescent="0.2">
      <c r="K416" s="93"/>
    </row>
    <row r="417" spans="5:11" x14ac:dyDescent="0.2">
      <c r="K417" s="93"/>
    </row>
    <row r="418" spans="5:11" x14ac:dyDescent="0.2">
      <c r="E418" s="93"/>
      <c r="K418" s="93"/>
    </row>
    <row r="419" spans="5:11" x14ac:dyDescent="0.2">
      <c r="E419" s="93"/>
      <c r="K419" s="93"/>
    </row>
    <row r="420" spans="5:11" x14ac:dyDescent="0.2">
      <c r="K420" s="93"/>
    </row>
    <row r="421" spans="5:11" x14ac:dyDescent="0.2">
      <c r="K421" s="93"/>
    </row>
    <row r="422" spans="5:11" x14ac:dyDescent="0.2">
      <c r="K422" s="93"/>
    </row>
    <row r="423" spans="5:11" x14ac:dyDescent="0.2">
      <c r="E423" s="93"/>
      <c r="K423" s="93"/>
    </row>
    <row r="424" spans="5:11" x14ac:dyDescent="0.2">
      <c r="E424" s="93"/>
      <c r="K424" s="93"/>
    </row>
    <row r="425" spans="5:11" x14ac:dyDescent="0.2">
      <c r="E425" s="93"/>
      <c r="K425" s="93"/>
    </row>
    <row r="426" spans="5:11" x14ac:dyDescent="0.2">
      <c r="E426" s="93"/>
      <c r="K426" s="93"/>
    </row>
    <row r="427" spans="5:11" x14ac:dyDescent="0.2">
      <c r="K427" s="93"/>
    </row>
    <row r="428" spans="5:11" x14ac:dyDescent="0.2">
      <c r="E428" s="93"/>
      <c r="K428" s="93"/>
    </row>
    <row r="429" spans="5:11" x14ac:dyDescent="0.2">
      <c r="E429" s="93"/>
      <c r="K429" s="93"/>
    </row>
    <row r="430" spans="5:11" x14ac:dyDescent="0.2">
      <c r="E430" s="93"/>
      <c r="K430" s="93"/>
    </row>
    <row r="431" spans="5:11" x14ac:dyDescent="0.2">
      <c r="K431" s="93"/>
    </row>
    <row r="432" spans="5:11" x14ac:dyDescent="0.2">
      <c r="E432" s="93"/>
      <c r="K432" s="93"/>
    </row>
    <row r="433" spans="5:11" x14ac:dyDescent="0.2">
      <c r="E433" s="93"/>
      <c r="K433" s="93"/>
    </row>
    <row r="434" spans="5:11" x14ac:dyDescent="0.2">
      <c r="K434" s="93"/>
    </row>
    <row r="435" spans="5:11" x14ac:dyDescent="0.2">
      <c r="E435" s="93"/>
      <c r="K435" s="93"/>
    </row>
    <row r="436" spans="5:11" x14ac:dyDescent="0.2">
      <c r="E436" s="93"/>
      <c r="K436" s="93"/>
    </row>
    <row r="437" spans="5:11" x14ac:dyDescent="0.2">
      <c r="E437" s="93"/>
      <c r="K437" s="93"/>
    </row>
    <row r="438" spans="5:11" x14ac:dyDescent="0.2">
      <c r="E438" s="93"/>
      <c r="K438" s="93"/>
    </row>
    <row r="439" spans="5:11" x14ac:dyDescent="0.2">
      <c r="E439" s="93"/>
      <c r="K439" s="93"/>
    </row>
    <row r="440" spans="5:11" x14ac:dyDescent="0.2">
      <c r="E440" s="93"/>
      <c r="K440" s="93"/>
    </row>
    <row r="441" spans="5:11" x14ac:dyDescent="0.2">
      <c r="E441" s="93"/>
      <c r="K441" s="93"/>
    </row>
    <row r="442" spans="5:11" x14ac:dyDescent="0.2">
      <c r="K442" s="93"/>
    </row>
    <row r="443" spans="5:11" x14ac:dyDescent="0.2">
      <c r="E443" s="93"/>
      <c r="K443" s="93"/>
    </row>
    <row r="444" spans="5:11" x14ac:dyDescent="0.2">
      <c r="E444" s="93"/>
      <c r="K444" s="93"/>
    </row>
    <row r="445" spans="5:11" x14ac:dyDescent="0.2">
      <c r="E445" s="93"/>
      <c r="K445" s="93"/>
    </row>
    <row r="446" spans="5:11" x14ac:dyDescent="0.2">
      <c r="K446" s="93"/>
    </row>
    <row r="447" spans="5:11" x14ac:dyDescent="0.2">
      <c r="E447" s="93"/>
      <c r="K447" s="93"/>
    </row>
    <row r="448" spans="5:11" x14ac:dyDescent="0.2">
      <c r="E448" s="93"/>
      <c r="K448" s="93"/>
    </row>
    <row r="449" spans="5:11" x14ac:dyDescent="0.2">
      <c r="E449" s="93"/>
      <c r="K449" s="93"/>
    </row>
    <row r="450" spans="5:11" x14ac:dyDescent="0.2">
      <c r="E450" s="93"/>
      <c r="K450" s="93"/>
    </row>
    <row r="451" spans="5:11" x14ac:dyDescent="0.2">
      <c r="E451" s="93"/>
      <c r="K451" s="93"/>
    </row>
    <row r="452" spans="5:11" x14ac:dyDescent="0.2">
      <c r="K452" s="93"/>
    </row>
    <row r="453" spans="5:11" x14ac:dyDescent="0.2">
      <c r="E453" s="93"/>
      <c r="K453" s="93"/>
    </row>
    <row r="454" spans="5:11" x14ac:dyDescent="0.2">
      <c r="K454" s="93"/>
    </row>
    <row r="455" spans="5:11" x14ac:dyDescent="0.2">
      <c r="K455" s="93"/>
    </row>
    <row r="456" spans="5:11" x14ac:dyDescent="0.2">
      <c r="E456" s="93"/>
      <c r="K456" s="93"/>
    </row>
    <row r="457" spans="5:11" x14ac:dyDescent="0.2">
      <c r="E457" s="93"/>
      <c r="K457" s="93"/>
    </row>
    <row r="458" spans="5:11" x14ac:dyDescent="0.2">
      <c r="E458" s="93"/>
      <c r="K458" s="93"/>
    </row>
    <row r="459" spans="5:11" x14ac:dyDescent="0.2">
      <c r="E459" s="93"/>
      <c r="K459" s="93"/>
    </row>
    <row r="460" spans="5:11" x14ac:dyDescent="0.2">
      <c r="E460" s="93"/>
      <c r="K460" s="93"/>
    </row>
    <row r="461" spans="5:11" x14ac:dyDescent="0.2">
      <c r="E461" s="93"/>
      <c r="K461" s="93"/>
    </row>
    <row r="462" spans="5:11" x14ac:dyDescent="0.2">
      <c r="K462" s="93"/>
    </row>
    <row r="463" spans="5:11" x14ac:dyDescent="0.2">
      <c r="E463" s="93"/>
      <c r="K463" s="93"/>
    </row>
    <row r="464" spans="5:11" x14ac:dyDescent="0.2">
      <c r="E464" s="93"/>
      <c r="K464" s="93"/>
    </row>
    <row r="465" spans="5:11" x14ac:dyDescent="0.2">
      <c r="E465" s="93"/>
      <c r="K465" s="93"/>
    </row>
    <row r="466" spans="5:11" x14ac:dyDescent="0.2">
      <c r="K466" s="93"/>
    </row>
    <row r="467" spans="5:11" x14ac:dyDescent="0.2">
      <c r="E467" s="93"/>
      <c r="K467" s="93"/>
    </row>
    <row r="468" spans="5:11" x14ac:dyDescent="0.2">
      <c r="E468" s="93"/>
      <c r="K468" s="93"/>
    </row>
    <row r="469" spans="5:11" x14ac:dyDescent="0.2">
      <c r="E469" s="93"/>
      <c r="K469" s="93"/>
    </row>
    <row r="470" spans="5:11" x14ac:dyDescent="0.2">
      <c r="E470" s="93"/>
      <c r="K470" s="93"/>
    </row>
    <row r="471" spans="5:11" x14ac:dyDescent="0.2">
      <c r="K471" s="93"/>
    </row>
    <row r="472" spans="5:11" x14ac:dyDescent="0.2">
      <c r="E472" s="93"/>
      <c r="K472" s="93"/>
    </row>
    <row r="473" spans="5:11" x14ac:dyDescent="0.2">
      <c r="E473" s="93"/>
      <c r="K473" s="93"/>
    </row>
    <row r="474" spans="5:11" x14ac:dyDescent="0.2">
      <c r="K474" s="93"/>
    </row>
    <row r="475" spans="5:11" x14ac:dyDescent="0.2">
      <c r="E475" s="93"/>
      <c r="K475" s="93"/>
    </row>
    <row r="476" spans="5:11" x14ac:dyDescent="0.2">
      <c r="E476" s="93"/>
      <c r="K476" s="93"/>
    </row>
    <row r="477" spans="5:11" x14ac:dyDescent="0.2">
      <c r="E477" s="93"/>
      <c r="K477" s="93"/>
    </row>
    <row r="478" spans="5:11" x14ac:dyDescent="0.2">
      <c r="E478" s="93"/>
      <c r="K478" s="93"/>
    </row>
    <row r="479" spans="5:11" x14ac:dyDescent="0.2">
      <c r="E479" s="93"/>
      <c r="K479" s="93"/>
    </row>
    <row r="480" spans="5:11" x14ac:dyDescent="0.2">
      <c r="K480" s="93"/>
    </row>
    <row r="481" spans="5:11" x14ac:dyDescent="0.2">
      <c r="K481" s="93"/>
    </row>
    <row r="482" spans="5:11" x14ac:dyDescent="0.2">
      <c r="K482" s="93"/>
    </row>
    <row r="483" spans="5:11" x14ac:dyDescent="0.2">
      <c r="E483" s="93"/>
      <c r="K483" s="93"/>
    </row>
    <row r="484" spans="5:11" x14ac:dyDescent="0.2">
      <c r="K484" s="93"/>
    </row>
    <row r="485" spans="5:11" x14ac:dyDescent="0.2">
      <c r="E485" s="93"/>
      <c r="K485" s="93"/>
    </row>
    <row r="486" spans="5:11" x14ac:dyDescent="0.2">
      <c r="E486" s="93"/>
      <c r="K486" s="93"/>
    </row>
    <row r="487" spans="5:11" x14ac:dyDescent="0.2">
      <c r="E487" s="93"/>
      <c r="K487" s="93"/>
    </row>
    <row r="488" spans="5:11" x14ac:dyDescent="0.2">
      <c r="E488" s="93"/>
      <c r="K488" s="93"/>
    </row>
    <row r="489" spans="5:11" x14ac:dyDescent="0.2">
      <c r="E489" s="93"/>
      <c r="K489" s="93"/>
    </row>
    <row r="490" spans="5:11" x14ac:dyDescent="0.2">
      <c r="E490" s="93"/>
      <c r="K490" s="93"/>
    </row>
    <row r="491" spans="5:11" x14ac:dyDescent="0.2">
      <c r="E491" s="93"/>
      <c r="K491" s="93"/>
    </row>
    <row r="492" spans="5:11" x14ac:dyDescent="0.2">
      <c r="E492" s="93"/>
      <c r="K492" s="93"/>
    </row>
    <row r="493" spans="5:11" x14ac:dyDescent="0.2">
      <c r="E493" s="93"/>
      <c r="K493" s="93"/>
    </row>
    <row r="494" spans="5:11" x14ac:dyDescent="0.2">
      <c r="E494" s="93"/>
      <c r="K494" s="93"/>
    </row>
    <row r="495" spans="5:11" x14ac:dyDescent="0.2">
      <c r="E495" s="93"/>
      <c r="K495" s="93"/>
    </row>
    <row r="496" spans="5:11" x14ac:dyDescent="0.2">
      <c r="E496" s="93"/>
      <c r="K496" s="93"/>
    </row>
    <row r="497" spans="5:11" x14ac:dyDescent="0.2">
      <c r="E497" s="93"/>
      <c r="K497" s="93"/>
    </row>
    <row r="498" spans="5:11" x14ac:dyDescent="0.2">
      <c r="E498" s="93"/>
      <c r="K498" s="93"/>
    </row>
    <row r="499" spans="5:11" x14ac:dyDescent="0.2">
      <c r="E499" s="93"/>
      <c r="K499" s="93"/>
    </row>
    <row r="500" spans="5:11" x14ac:dyDescent="0.2">
      <c r="E500" s="93"/>
      <c r="K500" s="93"/>
    </row>
    <row r="501" spans="5:11" x14ac:dyDescent="0.2">
      <c r="E501" s="93"/>
      <c r="K501" s="93"/>
    </row>
    <row r="502" spans="5:11" x14ac:dyDescent="0.2">
      <c r="K502" s="93"/>
    </row>
    <row r="503" spans="5:11" x14ac:dyDescent="0.2">
      <c r="K503" s="93"/>
    </row>
    <row r="504" spans="5:11" x14ac:dyDescent="0.2">
      <c r="E504" s="93"/>
      <c r="K504" s="93"/>
    </row>
    <row r="505" spans="5:11" x14ac:dyDescent="0.2">
      <c r="E505" s="93"/>
      <c r="K505" s="93"/>
    </row>
    <row r="506" spans="5:11" x14ac:dyDescent="0.2">
      <c r="E506" s="93"/>
      <c r="K506" s="93"/>
    </row>
    <row r="507" spans="5:11" x14ac:dyDescent="0.2">
      <c r="E507" s="93"/>
      <c r="K507" s="93"/>
    </row>
    <row r="508" spans="5:11" x14ac:dyDescent="0.2">
      <c r="K508" s="93"/>
    </row>
    <row r="509" spans="5:11" x14ac:dyDescent="0.2">
      <c r="K509" s="93"/>
    </row>
    <row r="510" spans="5:11" x14ac:dyDescent="0.2">
      <c r="E510" s="93"/>
      <c r="K510" s="93"/>
    </row>
    <row r="511" spans="5:11" x14ac:dyDescent="0.2">
      <c r="E511" s="93"/>
      <c r="K511" s="93"/>
    </row>
    <row r="512" spans="5:11" x14ac:dyDescent="0.2">
      <c r="K512" s="93"/>
    </row>
    <row r="513" spans="5:11" x14ac:dyDescent="0.2">
      <c r="E513" s="93"/>
      <c r="K513" s="93"/>
    </row>
    <row r="514" spans="5:11" x14ac:dyDescent="0.2">
      <c r="K514" s="93"/>
    </row>
    <row r="515" spans="5:11" x14ac:dyDescent="0.2">
      <c r="K515" s="93"/>
    </row>
    <row r="516" spans="5:11" x14ac:dyDescent="0.2">
      <c r="E516" s="93"/>
      <c r="K516" s="93"/>
    </row>
    <row r="517" spans="5:11" x14ac:dyDescent="0.2">
      <c r="E517" s="93"/>
      <c r="K517" s="93"/>
    </row>
    <row r="518" spans="5:11" x14ac:dyDescent="0.2">
      <c r="K518" s="93"/>
    </row>
    <row r="519" spans="5:11" x14ac:dyDescent="0.2">
      <c r="E519" s="93"/>
      <c r="K519" s="93"/>
    </row>
    <row r="520" spans="5:11" x14ac:dyDescent="0.2">
      <c r="E520" s="93"/>
      <c r="K520" s="93"/>
    </row>
    <row r="521" spans="5:11" x14ac:dyDescent="0.2">
      <c r="E521" s="93"/>
      <c r="K521" s="93"/>
    </row>
    <row r="522" spans="5:11" x14ac:dyDescent="0.2">
      <c r="E522" s="93"/>
      <c r="K522" s="93"/>
    </row>
    <row r="523" spans="5:11" x14ac:dyDescent="0.2">
      <c r="E523" s="93"/>
      <c r="K523" s="93"/>
    </row>
    <row r="524" spans="5:11" x14ac:dyDescent="0.2">
      <c r="E524" s="93"/>
      <c r="K524" s="93"/>
    </row>
    <row r="525" spans="5:11" x14ac:dyDescent="0.2">
      <c r="E525" s="93"/>
      <c r="K525" s="93"/>
    </row>
    <row r="526" spans="5:11" x14ac:dyDescent="0.2">
      <c r="K526" s="93"/>
    </row>
    <row r="527" spans="5:11" x14ac:dyDescent="0.2">
      <c r="K527" s="93"/>
    </row>
    <row r="528" spans="5:11" x14ac:dyDescent="0.2">
      <c r="E528" s="93"/>
      <c r="K528" s="93"/>
    </row>
    <row r="529" spans="5:11" x14ac:dyDescent="0.2">
      <c r="E529" s="93"/>
      <c r="K529" s="93"/>
    </row>
    <row r="530" spans="5:11" x14ac:dyDescent="0.2">
      <c r="E530" s="93"/>
      <c r="K530" s="93"/>
    </row>
    <row r="531" spans="5:11" x14ac:dyDescent="0.2">
      <c r="K531" s="93"/>
    </row>
    <row r="532" spans="5:11" x14ac:dyDescent="0.2">
      <c r="E532" s="93"/>
      <c r="K532" s="93"/>
    </row>
    <row r="533" spans="5:11" x14ac:dyDescent="0.2">
      <c r="E533" s="93"/>
      <c r="K533" s="93"/>
    </row>
    <row r="534" spans="5:11" x14ac:dyDescent="0.2">
      <c r="K534" s="93"/>
    </row>
    <row r="535" spans="5:11" x14ac:dyDescent="0.2">
      <c r="E535" s="93"/>
      <c r="K535" s="93"/>
    </row>
    <row r="536" spans="5:11" x14ac:dyDescent="0.2">
      <c r="E536" s="93"/>
      <c r="K536" s="93"/>
    </row>
    <row r="537" spans="5:11" x14ac:dyDescent="0.2">
      <c r="K537" s="93"/>
    </row>
    <row r="538" spans="5:11" x14ac:dyDescent="0.2">
      <c r="K538" s="93"/>
    </row>
    <row r="539" spans="5:11" x14ac:dyDescent="0.2">
      <c r="E539" s="93"/>
      <c r="K539" s="93"/>
    </row>
    <row r="540" spans="5:11" x14ac:dyDescent="0.2">
      <c r="K540" s="93"/>
    </row>
    <row r="541" spans="5:11" x14ac:dyDescent="0.2">
      <c r="K541" s="93"/>
    </row>
    <row r="542" spans="5:11" x14ac:dyDescent="0.2">
      <c r="E542" s="93"/>
      <c r="K542" s="93"/>
    </row>
    <row r="543" spans="5:11" x14ac:dyDescent="0.2">
      <c r="K543" s="93"/>
    </row>
    <row r="544" spans="5:11" x14ac:dyDescent="0.2">
      <c r="K544" s="93"/>
    </row>
    <row r="545" spans="5:11" x14ac:dyDescent="0.2">
      <c r="E545" s="93"/>
      <c r="K545" s="93"/>
    </row>
    <row r="546" spans="5:11" x14ac:dyDescent="0.2">
      <c r="E546" s="93"/>
      <c r="K546" s="93"/>
    </row>
    <row r="547" spans="5:11" x14ac:dyDescent="0.2">
      <c r="E547" s="93"/>
      <c r="K547" s="93"/>
    </row>
    <row r="548" spans="5:11" x14ac:dyDescent="0.2">
      <c r="K548" s="93"/>
    </row>
    <row r="549" spans="5:11" x14ac:dyDescent="0.2">
      <c r="E549" s="93"/>
      <c r="K549" s="93"/>
    </row>
    <row r="550" spans="5:11" x14ac:dyDescent="0.2">
      <c r="E550" s="93"/>
      <c r="K550" s="93"/>
    </row>
    <row r="551" spans="5:11" x14ac:dyDescent="0.2">
      <c r="K551" s="93"/>
    </row>
    <row r="552" spans="5:11" x14ac:dyDescent="0.2">
      <c r="E552" s="93"/>
      <c r="K552" s="93"/>
    </row>
    <row r="553" spans="5:11" x14ac:dyDescent="0.2">
      <c r="E553" s="93"/>
      <c r="K553" s="93"/>
    </row>
    <row r="554" spans="5:11" x14ac:dyDescent="0.2">
      <c r="E554" s="93"/>
      <c r="K554" s="93"/>
    </row>
    <row r="555" spans="5:11" x14ac:dyDescent="0.2">
      <c r="K555" s="93"/>
    </row>
    <row r="556" spans="5:11" x14ac:dyDescent="0.2">
      <c r="E556" s="93"/>
      <c r="K556" s="93"/>
    </row>
    <row r="557" spans="5:11" x14ac:dyDescent="0.2">
      <c r="E557" s="93"/>
      <c r="K557" s="93"/>
    </row>
    <row r="558" spans="5:11" x14ac:dyDescent="0.2">
      <c r="K558" s="93"/>
    </row>
    <row r="559" spans="5:11" x14ac:dyDescent="0.2">
      <c r="K559" s="93"/>
    </row>
    <row r="560" spans="5:11" x14ac:dyDescent="0.2">
      <c r="E560" s="93"/>
      <c r="K560" s="93"/>
    </row>
    <row r="561" spans="5:11" x14ac:dyDescent="0.2">
      <c r="E561" s="93"/>
      <c r="K561" s="93"/>
    </row>
    <row r="562" spans="5:11" x14ac:dyDescent="0.2">
      <c r="E562" s="93"/>
      <c r="K562" s="93"/>
    </row>
    <row r="563" spans="5:11" x14ac:dyDescent="0.2">
      <c r="K563" s="93"/>
    </row>
    <row r="564" spans="5:11" x14ac:dyDescent="0.2">
      <c r="E564" s="93"/>
      <c r="K564" s="93"/>
    </row>
    <row r="565" spans="5:11" x14ac:dyDescent="0.2">
      <c r="K565" s="93"/>
    </row>
    <row r="566" spans="5:11" x14ac:dyDescent="0.2">
      <c r="E566" s="93"/>
      <c r="K566" s="93"/>
    </row>
    <row r="567" spans="5:11" x14ac:dyDescent="0.2">
      <c r="E567" s="93"/>
      <c r="K567" s="93"/>
    </row>
    <row r="568" spans="5:11" x14ac:dyDescent="0.2">
      <c r="E568" s="93"/>
      <c r="K568" s="93"/>
    </row>
    <row r="569" spans="5:11" x14ac:dyDescent="0.2">
      <c r="K569" s="93"/>
    </row>
    <row r="570" spans="5:11" x14ac:dyDescent="0.2">
      <c r="E570" s="93"/>
      <c r="K570" s="93"/>
    </row>
    <row r="571" spans="5:11" x14ac:dyDescent="0.2">
      <c r="K571" s="93"/>
    </row>
    <row r="572" spans="5:11" x14ac:dyDescent="0.2">
      <c r="E572" s="93"/>
      <c r="K572" s="93"/>
    </row>
    <row r="573" spans="5:11" x14ac:dyDescent="0.2">
      <c r="E573" s="93"/>
      <c r="K573" s="93"/>
    </row>
    <row r="574" spans="5:11" x14ac:dyDescent="0.2">
      <c r="E574" s="93"/>
      <c r="K574" s="93"/>
    </row>
    <row r="575" spans="5:11" x14ac:dyDescent="0.2">
      <c r="K575" s="93"/>
    </row>
    <row r="576" spans="5:11" x14ac:dyDescent="0.2">
      <c r="E576" s="93"/>
      <c r="K576" s="93"/>
    </row>
    <row r="577" spans="5:11" x14ac:dyDescent="0.2">
      <c r="E577" s="93"/>
      <c r="K577" s="93"/>
    </row>
    <row r="578" spans="5:11" x14ac:dyDescent="0.2">
      <c r="E578" s="93"/>
      <c r="K578" s="93"/>
    </row>
    <row r="579" spans="5:11" x14ac:dyDescent="0.2">
      <c r="K579" s="93"/>
    </row>
    <row r="580" spans="5:11" x14ac:dyDescent="0.2">
      <c r="E580" s="93"/>
      <c r="K580" s="93"/>
    </row>
    <row r="581" spans="5:11" x14ac:dyDescent="0.2">
      <c r="E581" s="93"/>
      <c r="K581" s="93"/>
    </row>
    <row r="582" spans="5:11" x14ac:dyDescent="0.2">
      <c r="E582" s="93"/>
      <c r="K582" s="93"/>
    </row>
    <row r="583" spans="5:11" x14ac:dyDescent="0.2">
      <c r="E583" s="93"/>
      <c r="K583" s="93"/>
    </row>
    <row r="584" spans="5:11" x14ac:dyDescent="0.2">
      <c r="E584" s="93"/>
      <c r="K584" s="93"/>
    </row>
    <row r="585" spans="5:11" x14ac:dyDescent="0.2">
      <c r="E585" s="93"/>
      <c r="K585" s="93"/>
    </row>
    <row r="586" spans="5:11" x14ac:dyDescent="0.2">
      <c r="E586" s="93"/>
      <c r="K586" s="93"/>
    </row>
    <row r="587" spans="5:11" x14ac:dyDescent="0.2">
      <c r="E587" s="93"/>
      <c r="K587" s="93"/>
    </row>
    <row r="588" spans="5:11" x14ac:dyDescent="0.2">
      <c r="E588" s="93"/>
      <c r="K588" s="93"/>
    </row>
    <row r="589" spans="5:11" x14ac:dyDescent="0.2">
      <c r="K589" s="93"/>
    </row>
    <row r="590" spans="5:11" x14ac:dyDescent="0.2">
      <c r="K590" s="93"/>
    </row>
    <row r="591" spans="5:11" x14ac:dyDescent="0.2">
      <c r="E591" s="93"/>
      <c r="K591" s="93"/>
    </row>
    <row r="592" spans="5:11" x14ac:dyDescent="0.2">
      <c r="E592" s="93"/>
      <c r="K592" s="93"/>
    </row>
    <row r="593" spans="5:11" x14ac:dyDescent="0.2">
      <c r="K593" s="93"/>
    </row>
    <row r="594" spans="5:11" x14ac:dyDescent="0.2">
      <c r="E594" s="93"/>
      <c r="K594" s="93"/>
    </row>
    <row r="595" spans="5:11" x14ac:dyDescent="0.2">
      <c r="K595" s="93"/>
    </row>
    <row r="596" spans="5:11" x14ac:dyDescent="0.2">
      <c r="E596" s="93"/>
      <c r="K596" s="93"/>
    </row>
    <row r="597" spans="5:11" x14ac:dyDescent="0.2">
      <c r="K597" s="93"/>
    </row>
    <row r="598" spans="5:11" x14ac:dyDescent="0.2">
      <c r="K598" s="93"/>
    </row>
    <row r="599" spans="5:11" x14ac:dyDescent="0.2">
      <c r="K599" s="93"/>
    </row>
    <row r="600" spans="5:11" x14ac:dyDescent="0.2">
      <c r="K600" s="93"/>
    </row>
    <row r="601" spans="5:11" x14ac:dyDescent="0.2">
      <c r="K601" s="93"/>
    </row>
    <row r="602" spans="5:11" x14ac:dyDescent="0.2">
      <c r="K602" s="93"/>
    </row>
    <row r="603" spans="5:11" x14ac:dyDescent="0.2">
      <c r="K603" s="93"/>
    </row>
    <row r="604" spans="5:11" x14ac:dyDescent="0.2">
      <c r="E604" s="93"/>
      <c r="K604" s="93"/>
    </row>
    <row r="605" spans="5:11" x14ac:dyDescent="0.2">
      <c r="K605" s="93"/>
    </row>
    <row r="606" spans="5:11" x14ac:dyDescent="0.2">
      <c r="E606" s="93"/>
      <c r="K606" s="93"/>
    </row>
    <row r="607" spans="5:11" x14ac:dyDescent="0.2">
      <c r="E607" s="93"/>
      <c r="K607" s="93"/>
    </row>
    <row r="608" spans="5:11" x14ac:dyDescent="0.2">
      <c r="E608" s="93"/>
      <c r="K608" s="93"/>
    </row>
    <row r="609" spans="5:11" x14ac:dyDescent="0.2">
      <c r="E609" s="93"/>
      <c r="K609" s="93"/>
    </row>
    <row r="610" spans="5:11" x14ac:dyDescent="0.2">
      <c r="K610" s="93"/>
    </row>
    <row r="611" spans="5:11" x14ac:dyDescent="0.2">
      <c r="E611" s="93"/>
      <c r="K611" s="93"/>
    </row>
    <row r="612" spans="5:11" x14ac:dyDescent="0.2">
      <c r="E612" s="93"/>
      <c r="K612" s="93"/>
    </row>
    <row r="613" spans="5:11" x14ac:dyDescent="0.2">
      <c r="E613" s="93"/>
      <c r="K613" s="93"/>
    </row>
    <row r="614" spans="5:11" x14ac:dyDescent="0.2">
      <c r="K614" s="93"/>
    </row>
    <row r="615" spans="5:11" x14ac:dyDescent="0.2">
      <c r="E615" s="93"/>
      <c r="K615" s="93"/>
    </row>
    <row r="616" spans="5:11" x14ac:dyDescent="0.2">
      <c r="E616" s="93"/>
      <c r="K616" s="93"/>
    </row>
    <row r="617" spans="5:11" x14ac:dyDescent="0.2">
      <c r="K617" s="93"/>
    </row>
    <row r="618" spans="5:11" x14ac:dyDescent="0.2">
      <c r="E618" s="93"/>
      <c r="K618" s="93"/>
    </row>
    <row r="619" spans="5:11" x14ac:dyDescent="0.2">
      <c r="E619" s="93"/>
      <c r="K619" s="93"/>
    </row>
    <row r="620" spans="5:11" x14ac:dyDescent="0.2">
      <c r="E620" s="93"/>
      <c r="K620" s="93"/>
    </row>
    <row r="621" spans="5:11" x14ac:dyDescent="0.2">
      <c r="E621" s="93"/>
      <c r="K621" s="93"/>
    </row>
    <row r="622" spans="5:11" x14ac:dyDescent="0.2">
      <c r="E622" s="93"/>
      <c r="K622" s="93"/>
    </row>
    <row r="623" spans="5:11" x14ac:dyDescent="0.2">
      <c r="E623" s="93"/>
      <c r="K623" s="93"/>
    </row>
    <row r="624" spans="5:11" x14ac:dyDescent="0.2">
      <c r="E624" s="93"/>
      <c r="K624" s="93"/>
    </row>
    <row r="625" spans="5:11" x14ac:dyDescent="0.2">
      <c r="E625" s="93"/>
      <c r="K625" s="93"/>
    </row>
    <row r="626" spans="5:11" x14ac:dyDescent="0.2">
      <c r="K626" s="93"/>
    </row>
    <row r="627" spans="5:11" x14ac:dyDescent="0.2">
      <c r="E627" s="93"/>
      <c r="K627" s="93"/>
    </row>
    <row r="628" spans="5:11" x14ac:dyDescent="0.2">
      <c r="E628" s="93"/>
      <c r="K628" s="93"/>
    </row>
    <row r="629" spans="5:11" x14ac:dyDescent="0.2">
      <c r="K629" s="93"/>
    </row>
    <row r="630" spans="5:11" x14ac:dyDescent="0.2">
      <c r="E630" s="93"/>
      <c r="K630" s="93"/>
    </row>
    <row r="631" spans="5:11" x14ac:dyDescent="0.2">
      <c r="K631" s="93"/>
    </row>
    <row r="632" spans="5:11" x14ac:dyDescent="0.2">
      <c r="E632" s="93"/>
      <c r="K632" s="93"/>
    </row>
    <row r="633" spans="5:11" x14ac:dyDescent="0.2">
      <c r="E633" s="93"/>
      <c r="K633" s="93"/>
    </row>
    <row r="634" spans="5:11" x14ac:dyDescent="0.2">
      <c r="E634" s="93"/>
      <c r="K634" s="93"/>
    </row>
    <row r="635" spans="5:11" x14ac:dyDescent="0.2">
      <c r="K635" s="93"/>
    </row>
    <row r="636" spans="5:11" x14ac:dyDescent="0.2">
      <c r="K636" s="93"/>
    </row>
    <row r="637" spans="5:11" x14ac:dyDescent="0.2">
      <c r="E637" s="93"/>
      <c r="K637" s="93"/>
    </row>
    <row r="638" spans="5:11" x14ac:dyDescent="0.2">
      <c r="E638" s="93"/>
      <c r="K638" s="93"/>
    </row>
    <row r="639" spans="5:11" x14ac:dyDescent="0.2">
      <c r="E639" s="93"/>
      <c r="K639" s="93"/>
    </row>
    <row r="640" spans="5:11" x14ac:dyDescent="0.2">
      <c r="E640" s="93"/>
      <c r="K640" s="93"/>
    </row>
    <row r="641" spans="5:11" x14ac:dyDescent="0.2">
      <c r="E641" s="93"/>
      <c r="K641" s="93"/>
    </row>
    <row r="642" spans="5:11" x14ac:dyDescent="0.2">
      <c r="K642" s="93"/>
    </row>
    <row r="643" spans="5:11" x14ac:dyDescent="0.2">
      <c r="E643" s="93"/>
      <c r="K643" s="93"/>
    </row>
    <row r="644" spans="5:11" x14ac:dyDescent="0.2">
      <c r="E644" s="93"/>
      <c r="K644" s="93"/>
    </row>
    <row r="645" spans="5:11" x14ac:dyDescent="0.2">
      <c r="E645" s="93"/>
      <c r="K645" s="93"/>
    </row>
    <row r="646" spans="5:11" x14ac:dyDescent="0.2">
      <c r="E646" s="93"/>
      <c r="K646" s="93"/>
    </row>
    <row r="647" spans="5:11" x14ac:dyDescent="0.2">
      <c r="K647" s="93"/>
    </row>
    <row r="648" spans="5:11" x14ac:dyDescent="0.2">
      <c r="E648" s="93"/>
      <c r="K648" s="93"/>
    </row>
    <row r="649" spans="5:11" x14ac:dyDescent="0.2">
      <c r="K649" s="93"/>
    </row>
    <row r="650" spans="5:11" x14ac:dyDescent="0.2">
      <c r="E650" s="93"/>
      <c r="K650" s="93"/>
    </row>
    <row r="651" spans="5:11" x14ac:dyDescent="0.2">
      <c r="E651" s="93"/>
      <c r="K651" s="93"/>
    </row>
    <row r="652" spans="5:11" x14ac:dyDescent="0.2">
      <c r="E652" s="93"/>
      <c r="K652" s="93"/>
    </row>
    <row r="653" spans="5:11" x14ac:dyDescent="0.2">
      <c r="E653" s="93"/>
      <c r="K653" s="93"/>
    </row>
    <row r="654" spans="5:11" x14ac:dyDescent="0.2">
      <c r="E654" s="93"/>
      <c r="K654" s="93"/>
    </row>
    <row r="655" spans="5:11" x14ac:dyDescent="0.2">
      <c r="E655" s="93"/>
      <c r="K655" s="93"/>
    </row>
    <row r="656" spans="5:11" x14ac:dyDescent="0.2">
      <c r="E656" s="93"/>
      <c r="K656" s="93"/>
    </row>
    <row r="657" spans="5:11" x14ac:dyDescent="0.2">
      <c r="E657" s="93"/>
      <c r="K657" s="93"/>
    </row>
    <row r="658" spans="5:11" x14ac:dyDescent="0.2">
      <c r="K658" s="93"/>
    </row>
    <row r="659" spans="5:11" x14ac:dyDescent="0.2">
      <c r="K659" s="93"/>
    </row>
    <row r="660" spans="5:11" x14ac:dyDescent="0.2">
      <c r="E660" s="93"/>
      <c r="K660" s="93"/>
    </row>
    <row r="661" spans="5:11" x14ac:dyDescent="0.2">
      <c r="E661" s="93"/>
      <c r="K661" s="93"/>
    </row>
    <row r="662" spans="5:11" x14ac:dyDescent="0.2">
      <c r="E662" s="93"/>
      <c r="K662" s="93"/>
    </row>
    <row r="663" spans="5:11" x14ac:dyDescent="0.2">
      <c r="K663" s="93"/>
    </row>
    <row r="664" spans="5:11" x14ac:dyDescent="0.2">
      <c r="K664" s="93"/>
    </row>
    <row r="665" spans="5:11" x14ac:dyDescent="0.2">
      <c r="E665" s="93"/>
      <c r="K665" s="93"/>
    </row>
    <row r="666" spans="5:11" x14ac:dyDescent="0.2">
      <c r="E666" s="93"/>
      <c r="K666" s="93"/>
    </row>
    <row r="667" spans="5:11" x14ac:dyDescent="0.2">
      <c r="E667" s="93"/>
      <c r="K667" s="93"/>
    </row>
    <row r="668" spans="5:11" x14ac:dyDescent="0.2">
      <c r="E668" s="93"/>
      <c r="K668" s="93"/>
    </row>
    <row r="669" spans="5:11" x14ac:dyDescent="0.2">
      <c r="E669" s="93"/>
      <c r="K669" s="93"/>
    </row>
    <row r="670" spans="5:11" x14ac:dyDescent="0.2">
      <c r="E670" s="93"/>
      <c r="K670" s="93"/>
    </row>
    <row r="671" spans="5:11" x14ac:dyDescent="0.2">
      <c r="E671" s="93"/>
      <c r="K671" s="93"/>
    </row>
    <row r="672" spans="5:11" x14ac:dyDescent="0.2">
      <c r="K672" s="93"/>
    </row>
    <row r="673" spans="5:11" x14ac:dyDescent="0.2">
      <c r="E673" s="93"/>
      <c r="K673" s="93"/>
    </row>
    <row r="674" spans="5:11" x14ac:dyDescent="0.2">
      <c r="K674" s="93"/>
    </row>
    <row r="675" spans="5:11" x14ac:dyDescent="0.2">
      <c r="K675" s="93"/>
    </row>
    <row r="676" spans="5:11" x14ac:dyDescent="0.2">
      <c r="E676" s="93"/>
      <c r="K676" s="93"/>
    </row>
    <row r="677" spans="5:11" x14ac:dyDescent="0.2">
      <c r="K677" s="93"/>
    </row>
    <row r="678" spans="5:11" x14ac:dyDescent="0.2">
      <c r="E678" s="93"/>
      <c r="K678" s="93"/>
    </row>
    <row r="679" spans="5:11" x14ac:dyDescent="0.2">
      <c r="E679" s="93"/>
      <c r="K679" s="93"/>
    </row>
    <row r="680" spans="5:11" x14ac:dyDescent="0.2">
      <c r="K680" s="93"/>
    </row>
    <row r="681" spans="5:11" x14ac:dyDescent="0.2">
      <c r="E681" s="93"/>
      <c r="K681" s="93"/>
    </row>
    <row r="682" spans="5:11" x14ac:dyDescent="0.2">
      <c r="E682" s="93"/>
      <c r="K682" s="93"/>
    </row>
    <row r="683" spans="5:11" x14ac:dyDescent="0.2">
      <c r="K683" s="93"/>
    </row>
    <row r="684" spans="5:11" x14ac:dyDescent="0.2">
      <c r="E684" s="93"/>
      <c r="K684" s="93"/>
    </row>
    <row r="685" spans="5:11" x14ac:dyDescent="0.2">
      <c r="E685" s="93"/>
      <c r="K685" s="93"/>
    </row>
    <row r="686" spans="5:11" x14ac:dyDescent="0.2">
      <c r="E686" s="93"/>
      <c r="K686" s="93"/>
    </row>
    <row r="687" spans="5:11" x14ac:dyDescent="0.2">
      <c r="E687" s="93"/>
      <c r="K687" s="93"/>
    </row>
    <row r="688" spans="5:11" x14ac:dyDescent="0.2">
      <c r="E688" s="93"/>
      <c r="K688" s="93"/>
    </row>
    <row r="689" spans="5:11" x14ac:dyDescent="0.2">
      <c r="K689" s="93"/>
    </row>
    <row r="690" spans="5:11" x14ac:dyDescent="0.2">
      <c r="E690" s="93"/>
      <c r="K690" s="93"/>
    </row>
    <row r="691" spans="5:11" x14ac:dyDescent="0.2">
      <c r="K691" s="93"/>
    </row>
    <row r="692" spans="5:11" x14ac:dyDescent="0.2">
      <c r="E692" s="93"/>
      <c r="K692" s="93"/>
    </row>
    <row r="693" spans="5:11" x14ac:dyDescent="0.2">
      <c r="E693" s="93"/>
      <c r="K693" s="93"/>
    </row>
    <row r="694" spans="5:11" x14ac:dyDescent="0.2">
      <c r="E694" s="93"/>
      <c r="K694" s="93"/>
    </row>
    <row r="695" spans="5:11" x14ac:dyDescent="0.2">
      <c r="E695" s="93"/>
      <c r="K695" s="93"/>
    </row>
    <row r="696" spans="5:11" x14ac:dyDescent="0.2">
      <c r="E696" s="93"/>
      <c r="K696" s="93"/>
    </row>
    <row r="697" spans="5:11" x14ac:dyDescent="0.2">
      <c r="K697" s="93"/>
    </row>
    <row r="698" spans="5:11" x14ac:dyDescent="0.2">
      <c r="K698" s="93"/>
    </row>
    <row r="699" spans="5:11" x14ac:dyDescent="0.2">
      <c r="E699" s="93"/>
      <c r="K699" s="93"/>
    </row>
    <row r="700" spans="5:11" x14ac:dyDescent="0.2">
      <c r="K700" s="93"/>
    </row>
    <row r="701" spans="5:11" x14ac:dyDescent="0.2">
      <c r="E701" s="93"/>
      <c r="K701" s="93"/>
    </row>
    <row r="702" spans="5:11" x14ac:dyDescent="0.2">
      <c r="E702" s="93"/>
      <c r="K702" s="93"/>
    </row>
    <row r="703" spans="5:11" x14ac:dyDescent="0.2">
      <c r="K703" s="93"/>
    </row>
    <row r="704" spans="5:11" x14ac:dyDescent="0.2">
      <c r="E704" s="93"/>
      <c r="K704" s="93"/>
    </row>
    <row r="705" spans="5:11" x14ac:dyDescent="0.2">
      <c r="K705" s="93"/>
    </row>
    <row r="706" spans="5:11" x14ac:dyDescent="0.2">
      <c r="E706" s="93"/>
      <c r="K706" s="93"/>
    </row>
    <row r="707" spans="5:11" x14ac:dyDescent="0.2">
      <c r="E707" s="93"/>
      <c r="K707" s="93"/>
    </row>
    <row r="708" spans="5:11" x14ac:dyDescent="0.2">
      <c r="E708" s="93"/>
      <c r="K708" s="93"/>
    </row>
    <row r="709" spans="5:11" x14ac:dyDescent="0.2">
      <c r="E709" s="93"/>
      <c r="K709" s="93"/>
    </row>
    <row r="710" spans="5:11" x14ac:dyDescent="0.2">
      <c r="E710" s="93"/>
      <c r="K710" s="93"/>
    </row>
    <row r="711" spans="5:11" x14ac:dyDescent="0.2">
      <c r="E711" s="93"/>
      <c r="K711" s="93"/>
    </row>
    <row r="712" spans="5:11" x14ac:dyDescent="0.2">
      <c r="E712" s="93"/>
      <c r="K712" s="93"/>
    </row>
    <row r="713" spans="5:11" x14ac:dyDescent="0.2">
      <c r="E713" s="93"/>
      <c r="K713" s="93"/>
    </row>
    <row r="714" spans="5:11" x14ac:dyDescent="0.2">
      <c r="E714" s="93"/>
      <c r="K714" s="93"/>
    </row>
    <row r="715" spans="5:11" x14ac:dyDescent="0.2">
      <c r="E715" s="93"/>
      <c r="K715" s="93"/>
    </row>
    <row r="716" spans="5:11" x14ac:dyDescent="0.2">
      <c r="E716" s="93"/>
      <c r="K716" s="93"/>
    </row>
    <row r="717" spans="5:11" x14ac:dyDescent="0.2">
      <c r="E717" s="93"/>
      <c r="K717" s="93"/>
    </row>
    <row r="718" spans="5:11" x14ac:dyDescent="0.2">
      <c r="K718" s="93"/>
    </row>
    <row r="719" spans="5:11" x14ac:dyDescent="0.2">
      <c r="E719" s="93"/>
      <c r="K719" s="93"/>
    </row>
    <row r="720" spans="5:11" x14ac:dyDescent="0.2">
      <c r="E720" s="93"/>
      <c r="K720" s="93"/>
    </row>
    <row r="721" spans="5:11" x14ac:dyDescent="0.2">
      <c r="E721" s="93"/>
      <c r="K721" s="93"/>
    </row>
    <row r="722" spans="5:11" x14ac:dyDescent="0.2">
      <c r="E722" s="93"/>
      <c r="K722" s="93"/>
    </row>
    <row r="723" spans="5:11" x14ac:dyDescent="0.2">
      <c r="K723" s="93"/>
    </row>
    <row r="724" spans="5:11" x14ac:dyDescent="0.2">
      <c r="E724" s="93"/>
      <c r="K724" s="93"/>
    </row>
    <row r="725" spans="5:11" x14ac:dyDescent="0.2">
      <c r="E725" s="93"/>
      <c r="K725" s="93"/>
    </row>
    <row r="726" spans="5:11" x14ac:dyDescent="0.2">
      <c r="E726" s="93"/>
      <c r="K726" s="93"/>
    </row>
    <row r="727" spans="5:11" x14ac:dyDescent="0.2">
      <c r="E727" s="93"/>
      <c r="K727" s="93"/>
    </row>
    <row r="728" spans="5:11" x14ac:dyDescent="0.2">
      <c r="E728" s="93"/>
      <c r="K728" s="93"/>
    </row>
    <row r="729" spans="5:11" x14ac:dyDescent="0.2">
      <c r="E729" s="93"/>
      <c r="K729" s="93"/>
    </row>
    <row r="730" spans="5:11" x14ac:dyDescent="0.2">
      <c r="E730" s="93"/>
      <c r="K730" s="93"/>
    </row>
    <row r="731" spans="5:11" x14ac:dyDescent="0.2">
      <c r="K731" s="93"/>
    </row>
    <row r="732" spans="5:11" x14ac:dyDescent="0.2">
      <c r="E732" s="93"/>
      <c r="K732" s="93"/>
    </row>
    <row r="733" spans="5:11" x14ac:dyDescent="0.2">
      <c r="K733" s="93"/>
    </row>
    <row r="734" spans="5:11" x14ac:dyDescent="0.2">
      <c r="K734" s="93"/>
    </row>
    <row r="735" spans="5:11" x14ac:dyDescent="0.2">
      <c r="E735" s="93"/>
      <c r="K735" s="93"/>
    </row>
    <row r="736" spans="5:11" x14ac:dyDescent="0.2">
      <c r="E736" s="93"/>
      <c r="K736" s="93"/>
    </row>
    <row r="737" spans="5:11" x14ac:dyDescent="0.2">
      <c r="K737" s="93"/>
    </row>
    <row r="738" spans="5:11" x14ac:dyDescent="0.2">
      <c r="K738" s="93"/>
    </row>
    <row r="739" spans="5:11" x14ac:dyDescent="0.2">
      <c r="E739" s="93"/>
      <c r="K739" s="93"/>
    </row>
    <row r="740" spans="5:11" x14ac:dyDescent="0.2">
      <c r="K740" s="93"/>
    </row>
    <row r="741" spans="5:11" x14ac:dyDescent="0.2">
      <c r="K741" s="93"/>
    </row>
    <row r="742" spans="5:11" x14ac:dyDescent="0.2">
      <c r="K742" s="93"/>
    </row>
    <row r="743" spans="5:11" x14ac:dyDescent="0.2">
      <c r="K743" s="93"/>
    </row>
    <row r="744" spans="5:11" x14ac:dyDescent="0.2">
      <c r="E744" s="93"/>
      <c r="K744" s="93"/>
    </row>
    <row r="745" spans="5:11" x14ac:dyDescent="0.2">
      <c r="K745" s="93"/>
    </row>
    <row r="746" spans="5:11" x14ac:dyDescent="0.2">
      <c r="K746" s="93"/>
    </row>
    <row r="747" spans="5:11" x14ac:dyDescent="0.2">
      <c r="K747" s="93"/>
    </row>
    <row r="748" spans="5:11" x14ac:dyDescent="0.2">
      <c r="E748" s="93"/>
      <c r="K748" s="93"/>
    </row>
    <row r="749" spans="5:11" x14ac:dyDescent="0.2">
      <c r="E749" s="93"/>
      <c r="K749" s="93"/>
    </row>
    <row r="750" spans="5:11" x14ac:dyDescent="0.2">
      <c r="K750" s="93"/>
    </row>
    <row r="751" spans="5:11" x14ac:dyDescent="0.2">
      <c r="K751" s="93"/>
    </row>
    <row r="752" spans="5:11" x14ac:dyDescent="0.2">
      <c r="K752" s="93"/>
    </row>
    <row r="753" spans="5:11" x14ac:dyDescent="0.2">
      <c r="K753" s="93"/>
    </row>
    <row r="754" spans="5:11" x14ac:dyDescent="0.2">
      <c r="K754" s="93"/>
    </row>
    <row r="755" spans="5:11" x14ac:dyDescent="0.2">
      <c r="E755" s="93"/>
      <c r="K755" s="93"/>
    </row>
    <row r="756" spans="5:11" x14ac:dyDescent="0.2">
      <c r="E756" s="93"/>
      <c r="K756" s="93"/>
    </row>
    <row r="757" spans="5:11" x14ac:dyDescent="0.2">
      <c r="E757" s="93"/>
      <c r="K757" s="93"/>
    </row>
    <row r="758" spans="5:11" x14ac:dyDescent="0.2">
      <c r="E758" s="93"/>
      <c r="K758" s="93"/>
    </row>
    <row r="759" spans="5:11" x14ac:dyDescent="0.2">
      <c r="E759" s="93"/>
      <c r="K759" s="93"/>
    </row>
    <row r="760" spans="5:11" x14ac:dyDescent="0.2">
      <c r="E760" s="93"/>
      <c r="K760" s="93"/>
    </row>
    <row r="761" spans="5:11" x14ac:dyDescent="0.2">
      <c r="E761" s="93"/>
      <c r="K761" s="93"/>
    </row>
    <row r="762" spans="5:11" x14ac:dyDescent="0.2">
      <c r="K762" s="93"/>
    </row>
    <row r="763" spans="5:11" x14ac:dyDescent="0.2">
      <c r="E763" s="93"/>
      <c r="K763" s="93"/>
    </row>
    <row r="764" spans="5:11" x14ac:dyDescent="0.2">
      <c r="E764" s="93"/>
      <c r="K764" s="93"/>
    </row>
    <row r="765" spans="5:11" x14ac:dyDescent="0.2">
      <c r="K765" s="93"/>
    </row>
    <row r="766" spans="5:11" x14ac:dyDescent="0.2">
      <c r="E766" s="93"/>
      <c r="K766" s="93"/>
    </row>
    <row r="767" spans="5:11" x14ac:dyDescent="0.2">
      <c r="E767" s="93"/>
      <c r="K767" s="93"/>
    </row>
    <row r="768" spans="5:11" x14ac:dyDescent="0.2">
      <c r="E768" s="93"/>
      <c r="K768" s="93"/>
    </row>
    <row r="769" spans="5:11" x14ac:dyDescent="0.2">
      <c r="E769" s="93"/>
      <c r="K769" s="93"/>
    </row>
    <row r="770" spans="5:11" x14ac:dyDescent="0.2">
      <c r="E770" s="93"/>
      <c r="K770" s="93"/>
    </row>
    <row r="771" spans="5:11" x14ac:dyDescent="0.2">
      <c r="E771" s="93"/>
      <c r="K771" s="93"/>
    </row>
    <row r="772" spans="5:11" x14ac:dyDescent="0.2">
      <c r="E772" s="93"/>
      <c r="K772" s="93"/>
    </row>
    <row r="773" spans="5:11" x14ac:dyDescent="0.2">
      <c r="E773" s="93"/>
      <c r="K773" s="93"/>
    </row>
    <row r="774" spans="5:11" x14ac:dyDescent="0.2">
      <c r="K774" s="93"/>
    </row>
    <row r="775" spans="5:11" x14ac:dyDescent="0.2">
      <c r="E775" s="93"/>
      <c r="K775" s="93"/>
    </row>
    <row r="776" spans="5:11" x14ac:dyDescent="0.2">
      <c r="E776" s="93"/>
      <c r="K776" s="93"/>
    </row>
    <row r="777" spans="5:11" x14ac:dyDescent="0.2">
      <c r="E777" s="93"/>
      <c r="K777" s="93"/>
    </row>
    <row r="778" spans="5:11" x14ac:dyDescent="0.2">
      <c r="E778" s="93"/>
      <c r="K778" s="93"/>
    </row>
    <row r="779" spans="5:11" x14ac:dyDescent="0.2">
      <c r="E779" s="93"/>
      <c r="K779" s="93"/>
    </row>
    <row r="780" spans="5:11" x14ac:dyDescent="0.2">
      <c r="E780" s="93"/>
      <c r="K780" s="93"/>
    </row>
    <row r="781" spans="5:11" x14ac:dyDescent="0.2">
      <c r="E781" s="93"/>
      <c r="K781" s="93"/>
    </row>
    <row r="782" spans="5:11" x14ac:dyDescent="0.2">
      <c r="E782" s="93"/>
      <c r="K782" s="93"/>
    </row>
    <row r="783" spans="5:11" x14ac:dyDescent="0.2">
      <c r="K783" s="93"/>
    </row>
    <row r="784" spans="5:11" x14ac:dyDescent="0.2">
      <c r="E784" s="93"/>
      <c r="K784" s="93"/>
    </row>
    <row r="785" spans="5:11" x14ac:dyDescent="0.2">
      <c r="E785" s="93"/>
      <c r="K785" s="93"/>
    </row>
    <row r="786" spans="5:11" x14ac:dyDescent="0.2">
      <c r="K786" s="93"/>
    </row>
    <row r="787" spans="5:11" x14ac:dyDescent="0.2">
      <c r="E787" s="93"/>
      <c r="K787" s="93"/>
    </row>
    <row r="788" spans="5:11" x14ac:dyDescent="0.2">
      <c r="E788" s="93"/>
      <c r="K788" s="93"/>
    </row>
    <row r="789" spans="5:11" x14ac:dyDescent="0.2">
      <c r="E789" s="93"/>
      <c r="K789" s="93"/>
    </row>
    <row r="790" spans="5:11" x14ac:dyDescent="0.2">
      <c r="E790" s="93"/>
      <c r="K790" s="93"/>
    </row>
    <row r="791" spans="5:11" x14ac:dyDescent="0.2">
      <c r="E791" s="93"/>
      <c r="K791" s="93"/>
    </row>
    <row r="792" spans="5:11" x14ac:dyDescent="0.2">
      <c r="K792" s="93"/>
    </row>
    <row r="793" spans="5:11" x14ac:dyDescent="0.2">
      <c r="K793" s="93"/>
    </row>
    <row r="794" spans="5:11" x14ac:dyDescent="0.2">
      <c r="E794" s="93"/>
      <c r="K794" s="93"/>
    </row>
    <row r="795" spans="5:11" x14ac:dyDescent="0.2">
      <c r="E795" s="93"/>
      <c r="K795" s="93"/>
    </row>
    <row r="796" spans="5:11" x14ac:dyDescent="0.2">
      <c r="K796" s="93"/>
    </row>
    <row r="797" spans="5:11" x14ac:dyDescent="0.2">
      <c r="K797" s="93"/>
    </row>
    <row r="798" spans="5:11" x14ac:dyDescent="0.2">
      <c r="K798" s="93"/>
    </row>
    <row r="799" spans="5:11" x14ac:dyDescent="0.2">
      <c r="E799" s="93"/>
      <c r="K799" s="93"/>
    </row>
    <row r="800" spans="5:11" x14ac:dyDescent="0.2">
      <c r="E800" s="93"/>
      <c r="K800" s="93"/>
    </row>
    <row r="801" spans="5:11" x14ac:dyDescent="0.2">
      <c r="E801" s="93"/>
      <c r="K801" s="93"/>
    </row>
    <row r="802" spans="5:11" x14ac:dyDescent="0.2">
      <c r="K802" s="93"/>
    </row>
    <row r="803" spans="5:11" x14ac:dyDescent="0.2">
      <c r="K803" s="93"/>
    </row>
    <row r="804" spans="5:11" x14ac:dyDescent="0.2">
      <c r="K804" s="93"/>
    </row>
    <row r="805" spans="5:11" x14ac:dyDescent="0.2">
      <c r="E805" s="93"/>
      <c r="K805" s="93"/>
    </row>
    <row r="806" spans="5:11" x14ac:dyDescent="0.2">
      <c r="E806" s="93"/>
      <c r="K806" s="93"/>
    </row>
    <row r="807" spans="5:11" x14ac:dyDescent="0.2">
      <c r="E807" s="93"/>
      <c r="K807" s="93"/>
    </row>
    <row r="808" spans="5:11" x14ac:dyDescent="0.2">
      <c r="E808" s="93"/>
      <c r="K808" s="93"/>
    </row>
    <row r="809" spans="5:11" x14ac:dyDescent="0.2">
      <c r="E809" s="93"/>
      <c r="K809" s="93"/>
    </row>
    <row r="810" spans="5:11" x14ac:dyDescent="0.2">
      <c r="K810" s="93"/>
    </row>
    <row r="811" spans="5:11" x14ac:dyDescent="0.2">
      <c r="E811" s="93"/>
      <c r="K811" s="93"/>
    </row>
    <row r="812" spans="5:11" x14ac:dyDescent="0.2">
      <c r="E812" s="93"/>
      <c r="K812" s="93"/>
    </row>
    <row r="813" spans="5:11" x14ac:dyDescent="0.2">
      <c r="E813" s="93"/>
      <c r="K813" s="93"/>
    </row>
    <row r="814" spans="5:11" x14ac:dyDescent="0.2">
      <c r="E814" s="93"/>
      <c r="K814" s="93"/>
    </row>
    <row r="815" spans="5:11" x14ac:dyDescent="0.2">
      <c r="E815" s="93"/>
      <c r="K815" s="93"/>
    </row>
    <row r="816" spans="5:11" x14ac:dyDescent="0.2">
      <c r="E816" s="93"/>
      <c r="K816" s="93"/>
    </row>
    <row r="817" spans="5:11" x14ac:dyDescent="0.2">
      <c r="K817" s="93"/>
    </row>
    <row r="818" spans="5:11" x14ac:dyDescent="0.2">
      <c r="K818" s="93"/>
    </row>
    <row r="819" spans="5:11" x14ac:dyDescent="0.2">
      <c r="E819" s="93"/>
      <c r="K819" s="93"/>
    </row>
    <row r="820" spans="5:11" x14ac:dyDescent="0.2">
      <c r="E820" s="93"/>
      <c r="K820" s="93"/>
    </row>
    <row r="821" spans="5:11" x14ac:dyDescent="0.2">
      <c r="K821" s="93"/>
    </row>
    <row r="822" spans="5:11" x14ac:dyDescent="0.2">
      <c r="K822" s="93"/>
    </row>
    <row r="823" spans="5:11" x14ac:dyDescent="0.2">
      <c r="E823" s="93"/>
      <c r="K823" s="93"/>
    </row>
    <row r="824" spans="5:11" x14ac:dyDescent="0.2">
      <c r="E824" s="93"/>
      <c r="K824" s="93"/>
    </row>
    <row r="825" spans="5:11" x14ac:dyDescent="0.2">
      <c r="K825" s="93"/>
    </row>
    <row r="826" spans="5:11" x14ac:dyDescent="0.2">
      <c r="E826" s="93"/>
      <c r="K826" s="93"/>
    </row>
    <row r="827" spans="5:11" x14ac:dyDescent="0.2">
      <c r="K827" s="93"/>
    </row>
    <row r="828" spans="5:11" x14ac:dyDescent="0.2">
      <c r="E828" s="93"/>
      <c r="K828" s="93"/>
    </row>
    <row r="829" spans="5:11" x14ac:dyDescent="0.2">
      <c r="E829" s="93"/>
      <c r="K829" s="93"/>
    </row>
    <row r="830" spans="5:11" x14ac:dyDescent="0.2">
      <c r="E830" s="93"/>
      <c r="K830" s="93"/>
    </row>
    <row r="831" spans="5:11" x14ac:dyDescent="0.2">
      <c r="E831" s="93"/>
      <c r="K831" s="93"/>
    </row>
    <row r="832" spans="5:11" x14ac:dyDescent="0.2">
      <c r="E832" s="93"/>
      <c r="K832" s="93"/>
    </row>
    <row r="833" spans="5:11" x14ac:dyDescent="0.2">
      <c r="K833" s="93"/>
    </row>
    <row r="834" spans="5:11" x14ac:dyDescent="0.2">
      <c r="E834" s="93"/>
      <c r="K834" s="93"/>
    </row>
    <row r="835" spans="5:11" x14ac:dyDescent="0.2">
      <c r="E835" s="93"/>
      <c r="K835" s="93"/>
    </row>
    <row r="836" spans="5:11" x14ac:dyDescent="0.2">
      <c r="E836" s="93"/>
      <c r="K836" s="93"/>
    </row>
    <row r="837" spans="5:11" x14ac:dyDescent="0.2">
      <c r="K837" s="93"/>
    </row>
    <row r="838" spans="5:11" x14ac:dyDescent="0.2">
      <c r="E838" s="93"/>
      <c r="K838" s="93"/>
    </row>
    <row r="839" spans="5:11" x14ac:dyDescent="0.2">
      <c r="E839" s="93"/>
      <c r="K839" s="93"/>
    </row>
    <row r="840" spans="5:11" x14ac:dyDescent="0.2">
      <c r="K840" s="93"/>
    </row>
    <row r="841" spans="5:11" x14ac:dyDescent="0.2">
      <c r="E841" s="93"/>
      <c r="K841" s="93"/>
    </row>
    <row r="842" spans="5:11" x14ac:dyDescent="0.2">
      <c r="E842" s="93"/>
      <c r="K842" s="93"/>
    </row>
    <row r="843" spans="5:11" x14ac:dyDescent="0.2">
      <c r="K843" s="93"/>
    </row>
    <row r="844" spans="5:11" x14ac:dyDescent="0.2">
      <c r="E844" s="93"/>
      <c r="K844" s="93"/>
    </row>
    <row r="845" spans="5:11" x14ac:dyDescent="0.2">
      <c r="E845" s="93"/>
      <c r="K845" s="93"/>
    </row>
    <row r="846" spans="5:11" x14ac:dyDescent="0.2">
      <c r="E846" s="93"/>
      <c r="K846" s="93"/>
    </row>
    <row r="847" spans="5:11" x14ac:dyDescent="0.2">
      <c r="E847" s="93"/>
      <c r="K847" s="93"/>
    </row>
    <row r="848" spans="5:11" x14ac:dyDescent="0.2">
      <c r="E848" s="93"/>
      <c r="K848" s="93"/>
    </row>
    <row r="849" spans="5:11" x14ac:dyDescent="0.2">
      <c r="E849" s="93"/>
      <c r="K849" s="93"/>
    </row>
    <row r="850" spans="5:11" x14ac:dyDescent="0.2">
      <c r="E850" s="93"/>
      <c r="K850" s="93"/>
    </row>
    <row r="851" spans="5:11" x14ac:dyDescent="0.2">
      <c r="E851" s="93"/>
      <c r="K851" s="93"/>
    </row>
    <row r="852" spans="5:11" x14ac:dyDescent="0.2">
      <c r="E852" s="93"/>
      <c r="K852" s="93"/>
    </row>
    <row r="853" spans="5:11" x14ac:dyDescent="0.2">
      <c r="E853" s="93"/>
      <c r="K853" s="93"/>
    </row>
    <row r="854" spans="5:11" x14ac:dyDescent="0.2">
      <c r="K854" s="93"/>
    </row>
    <row r="855" spans="5:11" x14ac:dyDescent="0.2">
      <c r="E855" s="93"/>
      <c r="K855" s="93"/>
    </row>
    <row r="856" spans="5:11" x14ac:dyDescent="0.2">
      <c r="E856" s="93"/>
      <c r="K856" s="93"/>
    </row>
    <row r="857" spans="5:11" x14ac:dyDescent="0.2">
      <c r="E857" s="93"/>
      <c r="K857" s="93"/>
    </row>
    <row r="858" spans="5:11" x14ac:dyDescent="0.2">
      <c r="K858" s="93"/>
    </row>
    <row r="859" spans="5:11" x14ac:dyDescent="0.2">
      <c r="E859" s="93"/>
      <c r="K859" s="93"/>
    </row>
    <row r="860" spans="5:11" x14ac:dyDescent="0.2">
      <c r="E860" s="93"/>
      <c r="K860" s="93"/>
    </row>
    <row r="861" spans="5:11" x14ac:dyDescent="0.2">
      <c r="K861" s="93"/>
    </row>
    <row r="862" spans="5:11" x14ac:dyDescent="0.2">
      <c r="E862" s="93"/>
      <c r="K862" s="93"/>
    </row>
    <row r="863" spans="5:11" x14ac:dyDescent="0.2">
      <c r="K863" s="93"/>
    </row>
    <row r="864" spans="5:11" x14ac:dyDescent="0.2">
      <c r="K864" s="93"/>
    </row>
    <row r="865" spans="5:11" x14ac:dyDescent="0.2">
      <c r="E865" s="93"/>
      <c r="K865" s="93"/>
    </row>
    <row r="866" spans="5:11" x14ac:dyDescent="0.2">
      <c r="E866" s="93"/>
      <c r="K866" s="93"/>
    </row>
    <row r="867" spans="5:11" x14ac:dyDescent="0.2">
      <c r="E867" s="93"/>
      <c r="K867" s="93"/>
    </row>
    <row r="868" spans="5:11" x14ac:dyDescent="0.2">
      <c r="K868" s="93"/>
    </row>
    <row r="869" spans="5:11" x14ac:dyDescent="0.2">
      <c r="E869" s="93"/>
      <c r="K869" s="93"/>
    </row>
    <row r="870" spans="5:11" x14ac:dyDescent="0.2">
      <c r="E870" s="93"/>
      <c r="K870" s="93"/>
    </row>
    <row r="871" spans="5:11" x14ac:dyDescent="0.2">
      <c r="E871" s="93"/>
      <c r="K871" s="93"/>
    </row>
    <row r="872" spans="5:11" x14ac:dyDescent="0.2">
      <c r="E872" s="93"/>
      <c r="K872" s="93"/>
    </row>
    <row r="873" spans="5:11" x14ac:dyDescent="0.2">
      <c r="K873" s="93"/>
    </row>
    <row r="874" spans="5:11" x14ac:dyDescent="0.2">
      <c r="E874" s="93"/>
      <c r="K874" s="93"/>
    </row>
    <row r="875" spans="5:11" x14ac:dyDescent="0.2">
      <c r="E875" s="93"/>
      <c r="K875" s="93"/>
    </row>
    <row r="876" spans="5:11" x14ac:dyDescent="0.2">
      <c r="E876" s="93"/>
      <c r="K876" s="93"/>
    </row>
    <row r="877" spans="5:11" x14ac:dyDescent="0.2">
      <c r="E877" s="93"/>
      <c r="K877" s="93"/>
    </row>
    <row r="878" spans="5:11" x14ac:dyDescent="0.2">
      <c r="E878" s="93"/>
      <c r="K878" s="93"/>
    </row>
    <row r="879" spans="5:11" x14ac:dyDescent="0.2">
      <c r="K879" s="93"/>
    </row>
    <row r="880" spans="5:11" x14ac:dyDescent="0.2">
      <c r="E880" s="93"/>
      <c r="K880" s="93"/>
    </row>
    <row r="881" spans="5:11" x14ac:dyDescent="0.2">
      <c r="E881" s="93"/>
      <c r="K881" s="93"/>
    </row>
    <row r="882" spans="5:11" x14ac:dyDescent="0.2">
      <c r="E882" s="93"/>
      <c r="K882" s="93"/>
    </row>
    <row r="883" spans="5:11" x14ac:dyDescent="0.2">
      <c r="E883" s="93"/>
      <c r="K883" s="93"/>
    </row>
    <row r="884" spans="5:11" x14ac:dyDescent="0.2">
      <c r="K884" s="93"/>
    </row>
    <row r="885" spans="5:11" x14ac:dyDescent="0.2">
      <c r="E885" s="93"/>
      <c r="K885" s="93"/>
    </row>
    <row r="886" spans="5:11" x14ac:dyDescent="0.2">
      <c r="E886" s="93"/>
      <c r="K886" s="93"/>
    </row>
    <row r="887" spans="5:11" x14ac:dyDescent="0.2">
      <c r="K887" s="93"/>
    </row>
    <row r="888" spans="5:11" x14ac:dyDescent="0.2">
      <c r="E888" s="93"/>
      <c r="K888" s="93"/>
    </row>
    <row r="889" spans="5:11" x14ac:dyDescent="0.2">
      <c r="E889" s="93"/>
      <c r="K889" s="93"/>
    </row>
    <row r="890" spans="5:11" x14ac:dyDescent="0.2">
      <c r="E890" s="93"/>
      <c r="K890" s="93"/>
    </row>
    <row r="891" spans="5:11" x14ac:dyDescent="0.2">
      <c r="K891" s="93"/>
    </row>
    <row r="892" spans="5:11" x14ac:dyDescent="0.2">
      <c r="E892" s="93"/>
      <c r="K892" s="93"/>
    </row>
    <row r="893" spans="5:11" x14ac:dyDescent="0.2">
      <c r="E893" s="93"/>
      <c r="K893" s="93"/>
    </row>
    <row r="894" spans="5:11" x14ac:dyDescent="0.2">
      <c r="E894" s="93"/>
      <c r="K894" s="93"/>
    </row>
    <row r="895" spans="5:11" x14ac:dyDescent="0.2">
      <c r="E895" s="93"/>
      <c r="K895" s="93"/>
    </row>
    <row r="896" spans="5:11" x14ac:dyDescent="0.2">
      <c r="K896" s="93"/>
    </row>
    <row r="897" spans="5:11" x14ac:dyDescent="0.2">
      <c r="E897" s="93"/>
      <c r="K897" s="93"/>
    </row>
    <row r="898" spans="5:11" x14ac:dyDescent="0.2">
      <c r="K898" s="93"/>
    </row>
    <row r="899" spans="5:11" x14ac:dyDescent="0.2">
      <c r="E899" s="93"/>
      <c r="K899" s="93"/>
    </row>
    <row r="900" spans="5:11" x14ac:dyDescent="0.2">
      <c r="E900" s="93"/>
      <c r="K900" s="93"/>
    </row>
    <row r="901" spans="5:11" x14ac:dyDescent="0.2">
      <c r="E901" s="93"/>
      <c r="K901" s="93"/>
    </row>
    <row r="902" spans="5:11" x14ac:dyDescent="0.2">
      <c r="E902" s="93"/>
      <c r="K902" s="93"/>
    </row>
    <row r="903" spans="5:11" x14ac:dyDescent="0.2">
      <c r="E903" s="93"/>
      <c r="K903" s="93"/>
    </row>
    <row r="904" spans="5:11" x14ac:dyDescent="0.2">
      <c r="E904" s="93"/>
      <c r="K904" s="93"/>
    </row>
    <row r="905" spans="5:11" x14ac:dyDescent="0.2">
      <c r="E905" s="93"/>
      <c r="K905" s="93"/>
    </row>
    <row r="906" spans="5:11" x14ac:dyDescent="0.2">
      <c r="K906" s="93"/>
    </row>
    <row r="907" spans="5:11" x14ac:dyDescent="0.2">
      <c r="K907" s="93"/>
    </row>
    <row r="908" spans="5:11" x14ac:dyDescent="0.2">
      <c r="E908" s="93"/>
      <c r="K908" s="93"/>
    </row>
    <row r="909" spans="5:11" x14ac:dyDescent="0.2">
      <c r="E909" s="93"/>
      <c r="K909" s="93"/>
    </row>
    <row r="910" spans="5:11" x14ac:dyDescent="0.2">
      <c r="E910" s="93"/>
      <c r="K910" s="93"/>
    </row>
    <row r="911" spans="5:11" x14ac:dyDescent="0.2">
      <c r="E911" s="93"/>
      <c r="K911" s="93"/>
    </row>
    <row r="912" spans="5:11" x14ac:dyDescent="0.2">
      <c r="E912" s="93"/>
      <c r="K912" s="93"/>
    </row>
    <row r="913" spans="5:11" x14ac:dyDescent="0.2">
      <c r="E913" s="93"/>
      <c r="K913" s="93"/>
    </row>
    <row r="914" spans="5:11" x14ac:dyDescent="0.2">
      <c r="E914" s="93"/>
      <c r="K914" s="93"/>
    </row>
    <row r="915" spans="5:11" x14ac:dyDescent="0.2">
      <c r="E915" s="93"/>
      <c r="K915" s="93"/>
    </row>
    <row r="916" spans="5:11" x14ac:dyDescent="0.2">
      <c r="E916" s="93"/>
      <c r="K916" s="93"/>
    </row>
    <row r="917" spans="5:11" x14ac:dyDescent="0.2">
      <c r="E917" s="93"/>
      <c r="K917" s="93"/>
    </row>
    <row r="918" spans="5:11" x14ac:dyDescent="0.2">
      <c r="E918" s="93"/>
      <c r="K918" s="93"/>
    </row>
    <row r="919" spans="5:11" x14ac:dyDescent="0.2">
      <c r="E919" s="93"/>
      <c r="K919" s="93"/>
    </row>
    <row r="920" spans="5:11" x14ac:dyDescent="0.2">
      <c r="E920" s="93"/>
      <c r="K920" s="93"/>
    </row>
    <row r="921" spans="5:11" x14ac:dyDescent="0.2">
      <c r="E921" s="93"/>
      <c r="K921" s="93"/>
    </row>
    <row r="922" spans="5:11" x14ac:dyDescent="0.2">
      <c r="E922" s="93"/>
      <c r="K922" s="93"/>
    </row>
    <row r="923" spans="5:11" x14ac:dyDescent="0.2">
      <c r="E923" s="93"/>
      <c r="K923" s="93"/>
    </row>
    <row r="924" spans="5:11" x14ac:dyDescent="0.2">
      <c r="E924" s="93"/>
      <c r="K924" s="93"/>
    </row>
    <row r="925" spans="5:11" x14ac:dyDescent="0.2">
      <c r="K925" s="93"/>
    </row>
    <row r="926" spans="5:11" x14ac:dyDescent="0.2">
      <c r="K926" s="93"/>
    </row>
    <row r="927" spans="5:11" x14ac:dyDescent="0.2">
      <c r="E927" s="93"/>
      <c r="K927" s="93"/>
    </row>
    <row r="928" spans="5:11" x14ac:dyDescent="0.2">
      <c r="E928" s="93"/>
      <c r="K928" s="93"/>
    </row>
    <row r="929" spans="5:11" x14ac:dyDescent="0.2">
      <c r="E929" s="93"/>
      <c r="K929" s="93"/>
    </row>
    <row r="930" spans="5:11" x14ac:dyDescent="0.2">
      <c r="E930" s="93"/>
      <c r="K930" s="93"/>
    </row>
    <row r="931" spans="5:11" x14ac:dyDescent="0.2">
      <c r="E931" s="93"/>
      <c r="K931" s="93"/>
    </row>
    <row r="932" spans="5:11" x14ac:dyDescent="0.2">
      <c r="E932" s="93"/>
      <c r="K932" s="93"/>
    </row>
    <row r="933" spans="5:11" x14ac:dyDescent="0.2">
      <c r="K933" s="93"/>
    </row>
    <row r="934" spans="5:11" x14ac:dyDescent="0.2">
      <c r="E934" s="93"/>
      <c r="K934" s="93"/>
    </row>
    <row r="935" spans="5:11" x14ac:dyDescent="0.2">
      <c r="K935" s="93"/>
    </row>
    <row r="936" spans="5:11" x14ac:dyDescent="0.2">
      <c r="K936" s="93"/>
    </row>
    <row r="937" spans="5:11" x14ac:dyDescent="0.2">
      <c r="E937" s="93"/>
      <c r="K937" s="93"/>
    </row>
    <row r="938" spans="5:11" x14ac:dyDescent="0.2">
      <c r="K938" s="93"/>
    </row>
    <row r="939" spans="5:11" x14ac:dyDescent="0.2">
      <c r="E939" s="93"/>
      <c r="K939" s="93"/>
    </row>
    <row r="940" spans="5:11" x14ac:dyDescent="0.2">
      <c r="E940" s="93"/>
      <c r="K940" s="93"/>
    </row>
    <row r="941" spans="5:11" x14ac:dyDescent="0.2">
      <c r="E941" s="93"/>
      <c r="K941" s="93"/>
    </row>
    <row r="942" spans="5:11" x14ac:dyDescent="0.2">
      <c r="E942" s="93"/>
      <c r="K942" s="93"/>
    </row>
    <row r="943" spans="5:11" x14ac:dyDescent="0.2">
      <c r="E943" s="93"/>
      <c r="K943" s="93"/>
    </row>
    <row r="944" spans="5:11" x14ac:dyDescent="0.2">
      <c r="E944" s="93"/>
      <c r="K944" s="93"/>
    </row>
    <row r="945" spans="5:11" x14ac:dyDescent="0.2">
      <c r="E945" s="93"/>
      <c r="K945" s="93"/>
    </row>
    <row r="946" spans="5:11" x14ac:dyDescent="0.2">
      <c r="E946" s="93"/>
      <c r="K946" s="93"/>
    </row>
    <row r="947" spans="5:11" x14ac:dyDescent="0.2">
      <c r="E947" s="93"/>
      <c r="K947" s="93"/>
    </row>
    <row r="948" spans="5:11" x14ac:dyDescent="0.2">
      <c r="K948" s="93"/>
    </row>
    <row r="949" spans="5:11" x14ac:dyDescent="0.2">
      <c r="E949" s="93"/>
      <c r="K949" s="93"/>
    </row>
    <row r="950" spans="5:11" x14ac:dyDescent="0.2">
      <c r="E950" s="93"/>
      <c r="K950" s="93"/>
    </row>
    <row r="951" spans="5:11" x14ac:dyDescent="0.2">
      <c r="E951" s="93"/>
      <c r="K951" s="93"/>
    </row>
    <row r="952" spans="5:11" x14ac:dyDescent="0.2">
      <c r="K952" s="93"/>
    </row>
    <row r="953" spans="5:11" x14ac:dyDescent="0.2">
      <c r="K953" s="93"/>
    </row>
    <row r="954" spans="5:11" x14ac:dyDescent="0.2">
      <c r="E954" s="93"/>
      <c r="K954" s="93"/>
    </row>
    <row r="955" spans="5:11" x14ac:dyDescent="0.2">
      <c r="E955" s="93"/>
      <c r="K955" s="93"/>
    </row>
    <row r="956" spans="5:11" x14ac:dyDescent="0.2">
      <c r="K956" s="93"/>
    </row>
    <row r="957" spans="5:11" x14ac:dyDescent="0.2">
      <c r="E957" s="93"/>
      <c r="K957" s="93"/>
    </row>
    <row r="958" spans="5:11" x14ac:dyDescent="0.2">
      <c r="E958" s="93"/>
      <c r="K958" s="93"/>
    </row>
    <row r="959" spans="5:11" x14ac:dyDescent="0.2">
      <c r="E959" s="93"/>
      <c r="K959" s="93"/>
    </row>
    <row r="960" spans="5:11" x14ac:dyDescent="0.2">
      <c r="K960" s="93"/>
    </row>
    <row r="961" spans="5:11" x14ac:dyDescent="0.2">
      <c r="E961" s="93"/>
      <c r="K961" s="93"/>
    </row>
    <row r="962" spans="5:11" x14ac:dyDescent="0.2">
      <c r="K962" s="93"/>
    </row>
    <row r="963" spans="5:11" x14ac:dyDescent="0.2">
      <c r="E963" s="93"/>
      <c r="K963" s="93"/>
    </row>
    <row r="964" spans="5:11" x14ac:dyDescent="0.2">
      <c r="E964" s="93"/>
      <c r="K964" s="93"/>
    </row>
    <row r="965" spans="5:11" x14ac:dyDescent="0.2">
      <c r="K965" s="93"/>
    </row>
    <row r="966" spans="5:11" x14ac:dyDescent="0.2">
      <c r="E966" s="93"/>
      <c r="K966" s="93"/>
    </row>
    <row r="967" spans="5:11" x14ac:dyDescent="0.2">
      <c r="E967" s="93"/>
      <c r="K967" s="93"/>
    </row>
    <row r="968" spans="5:11" x14ac:dyDescent="0.2">
      <c r="E968" s="93"/>
      <c r="K968" s="93"/>
    </row>
    <row r="969" spans="5:11" x14ac:dyDescent="0.2">
      <c r="E969" s="93"/>
      <c r="K969" s="93"/>
    </row>
    <row r="970" spans="5:11" x14ac:dyDescent="0.2">
      <c r="K970" s="93"/>
    </row>
    <row r="971" spans="5:11" x14ac:dyDescent="0.2">
      <c r="E971" s="93"/>
      <c r="K971" s="93"/>
    </row>
    <row r="972" spans="5:11" x14ac:dyDescent="0.2">
      <c r="E972" s="93"/>
      <c r="K972" s="93"/>
    </row>
    <row r="973" spans="5:11" x14ac:dyDescent="0.2">
      <c r="E973" s="93"/>
      <c r="K973" s="93"/>
    </row>
    <row r="974" spans="5:11" x14ac:dyDescent="0.2">
      <c r="E974" s="93"/>
      <c r="K974" s="93"/>
    </row>
    <row r="975" spans="5:11" x14ac:dyDescent="0.2">
      <c r="E975" s="93"/>
      <c r="K975" s="93"/>
    </row>
    <row r="976" spans="5:11" x14ac:dyDescent="0.2">
      <c r="E976" s="93"/>
      <c r="K976" s="93"/>
    </row>
    <row r="977" spans="5:11" x14ac:dyDescent="0.2">
      <c r="E977" s="93"/>
      <c r="K977" s="93"/>
    </row>
    <row r="978" spans="5:11" x14ac:dyDescent="0.2">
      <c r="E978" s="93"/>
      <c r="K978" s="93"/>
    </row>
    <row r="979" spans="5:11" x14ac:dyDescent="0.2">
      <c r="E979" s="93"/>
      <c r="K979" s="93"/>
    </row>
    <row r="980" spans="5:11" x14ac:dyDescent="0.2">
      <c r="E980" s="93"/>
      <c r="K980" s="93"/>
    </row>
    <row r="981" spans="5:11" x14ac:dyDescent="0.2">
      <c r="E981" s="93"/>
      <c r="K981" s="93"/>
    </row>
    <row r="982" spans="5:11" x14ac:dyDescent="0.2">
      <c r="E982" s="93"/>
      <c r="K982" s="93"/>
    </row>
    <row r="983" spans="5:11" x14ac:dyDescent="0.2">
      <c r="K983" s="93"/>
    </row>
    <row r="984" spans="5:11" x14ac:dyDescent="0.2">
      <c r="E984" s="93"/>
      <c r="K984" s="93"/>
    </row>
    <row r="985" spans="5:11" x14ac:dyDescent="0.2">
      <c r="K985" s="93"/>
    </row>
    <row r="986" spans="5:11" x14ac:dyDescent="0.2">
      <c r="E986" s="93"/>
      <c r="K986" s="93"/>
    </row>
    <row r="987" spans="5:11" x14ac:dyDescent="0.2">
      <c r="E987" s="93"/>
      <c r="K987" s="93"/>
    </row>
    <row r="988" spans="5:11" x14ac:dyDescent="0.2">
      <c r="E988" s="93"/>
      <c r="K988" s="93"/>
    </row>
    <row r="989" spans="5:11" x14ac:dyDescent="0.2">
      <c r="E989" s="93"/>
      <c r="K989" s="93"/>
    </row>
    <row r="990" spans="5:11" x14ac:dyDescent="0.2">
      <c r="E990" s="93"/>
      <c r="K990" s="93"/>
    </row>
    <row r="991" spans="5:11" x14ac:dyDescent="0.2">
      <c r="E991" s="93"/>
      <c r="K991" s="93"/>
    </row>
    <row r="992" spans="5:11" x14ac:dyDescent="0.2">
      <c r="E992" s="93"/>
      <c r="K992" s="93"/>
    </row>
    <row r="993" spans="5:11" x14ac:dyDescent="0.2">
      <c r="E993" s="93"/>
      <c r="K993" s="93"/>
    </row>
    <row r="994" spans="5:11" x14ac:dyDescent="0.2">
      <c r="E994" s="93"/>
      <c r="K994" s="93"/>
    </row>
    <row r="995" spans="5:11" x14ac:dyDescent="0.2">
      <c r="E995" s="93"/>
      <c r="K995" s="93"/>
    </row>
    <row r="996" spans="5:11" x14ac:dyDescent="0.2">
      <c r="E996" s="93"/>
      <c r="K996" s="93"/>
    </row>
    <row r="997" spans="5:11" x14ac:dyDescent="0.2">
      <c r="E997" s="93"/>
      <c r="K997" s="93"/>
    </row>
    <row r="998" spans="5:11" x14ac:dyDescent="0.2">
      <c r="E998" s="93"/>
      <c r="K998" s="93"/>
    </row>
    <row r="999" spans="5:11" x14ac:dyDescent="0.2">
      <c r="E999" s="93"/>
      <c r="K999" s="93"/>
    </row>
    <row r="1000" spans="5:11" x14ac:dyDescent="0.2">
      <c r="E1000" s="93"/>
      <c r="K1000" s="93"/>
    </row>
    <row r="1001" spans="5:11" x14ac:dyDescent="0.2">
      <c r="E1001" s="93"/>
      <c r="K1001" s="93"/>
    </row>
    <row r="1002" spans="5:11" x14ac:dyDescent="0.2">
      <c r="E1002" s="93"/>
      <c r="K1002" s="93"/>
    </row>
    <row r="1003" spans="5:11" x14ac:dyDescent="0.2">
      <c r="E1003" s="93"/>
      <c r="K1003" s="93"/>
    </row>
    <row r="1004" spans="5:11" x14ac:dyDescent="0.2">
      <c r="E1004" s="93"/>
      <c r="K1004" s="93"/>
    </row>
    <row r="1005" spans="5:11" x14ac:dyDescent="0.2">
      <c r="E1005" s="93"/>
      <c r="K1005" s="93"/>
    </row>
    <row r="1006" spans="5:11" x14ac:dyDescent="0.2">
      <c r="E1006" s="93"/>
      <c r="K1006" s="93"/>
    </row>
    <row r="1007" spans="5:11" x14ac:dyDescent="0.2">
      <c r="E1007" s="93"/>
      <c r="K1007" s="93"/>
    </row>
    <row r="1008" spans="5:11" x14ac:dyDescent="0.2">
      <c r="K1008" s="93"/>
    </row>
    <row r="1009" spans="5:11" x14ac:dyDescent="0.2">
      <c r="E1009" s="93"/>
      <c r="K1009" s="93"/>
    </row>
    <row r="1010" spans="5:11" x14ac:dyDescent="0.2">
      <c r="E1010" s="93"/>
      <c r="K1010" s="93"/>
    </row>
    <row r="1011" spans="5:11" x14ac:dyDescent="0.2">
      <c r="E1011" s="93"/>
      <c r="K1011" s="93"/>
    </row>
    <row r="1012" spans="5:11" x14ac:dyDescent="0.2">
      <c r="E1012" s="93"/>
      <c r="K1012" s="93"/>
    </row>
    <row r="1013" spans="5:11" x14ac:dyDescent="0.2">
      <c r="E1013" s="93"/>
      <c r="K1013" s="93"/>
    </row>
    <row r="1014" spans="5:11" x14ac:dyDescent="0.2">
      <c r="E1014" s="93"/>
      <c r="K1014" s="93"/>
    </row>
    <row r="1015" spans="5:11" x14ac:dyDescent="0.2">
      <c r="E1015" s="93"/>
      <c r="K1015" s="93"/>
    </row>
    <row r="1016" spans="5:11" x14ac:dyDescent="0.2">
      <c r="E1016" s="93"/>
      <c r="K1016" s="93"/>
    </row>
    <row r="1017" spans="5:11" x14ac:dyDescent="0.2">
      <c r="K1017" s="93"/>
    </row>
    <row r="1018" spans="5:11" x14ac:dyDescent="0.2">
      <c r="E1018" s="93"/>
      <c r="K1018" s="93"/>
    </row>
    <row r="1019" spans="5:11" x14ac:dyDescent="0.2">
      <c r="K1019" s="93"/>
    </row>
    <row r="1020" spans="5:11" x14ac:dyDescent="0.2">
      <c r="K1020" s="93"/>
    </row>
    <row r="1021" spans="5:11" x14ac:dyDescent="0.2">
      <c r="E1021" s="93"/>
      <c r="K1021" s="93"/>
    </row>
    <row r="1022" spans="5:11" x14ac:dyDescent="0.2">
      <c r="E1022" s="93"/>
      <c r="K1022" s="93"/>
    </row>
    <row r="1023" spans="5:11" x14ac:dyDescent="0.2">
      <c r="E1023" s="93"/>
      <c r="K1023" s="93"/>
    </row>
    <row r="1024" spans="5:11" x14ac:dyDescent="0.2">
      <c r="E1024" s="93"/>
      <c r="K1024" s="93"/>
    </row>
    <row r="1025" spans="5:11" x14ac:dyDescent="0.2">
      <c r="E1025" s="93"/>
      <c r="K1025" s="93"/>
    </row>
    <row r="1026" spans="5:11" x14ac:dyDescent="0.2">
      <c r="E1026" s="93"/>
      <c r="K1026" s="93"/>
    </row>
    <row r="1027" spans="5:11" x14ac:dyDescent="0.2">
      <c r="K1027" s="93"/>
    </row>
    <row r="1028" spans="5:11" x14ac:dyDescent="0.2">
      <c r="E1028" s="93"/>
      <c r="K1028" s="93"/>
    </row>
    <row r="1029" spans="5:11" x14ac:dyDescent="0.2">
      <c r="E1029" s="93"/>
      <c r="K1029" s="93"/>
    </row>
    <row r="1030" spans="5:11" x14ac:dyDescent="0.2">
      <c r="E1030" s="93"/>
      <c r="K1030" s="93"/>
    </row>
    <row r="1031" spans="5:11" x14ac:dyDescent="0.2">
      <c r="K1031" s="93"/>
    </row>
    <row r="1032" spans="5:11" x14ac:dyDescent="0.2">
      <c r="E1032" s="93"/>
      <c r="K1032" s="93"/>
    </row>
    <row r="1033" spans="5:11" x14ac:dyDescent="0.2">
      <c r="K1033" s="93"/>
    </row>
    <row r="1034" spans="5:11" x14ac:dyDescent="0.2">
      <c r="E1034" s="93"/>
      <c r="K1034" s="93"/>
    </row>
    <row r="1035" spans="5:11" x14ac:dyDescent="0.2">
      <c r="E1035" s="93"/>
      <c r="K1035" s="93"/>
    </row>
    <row r="1036" spans="5:11" x14ac:dyDescent="0.2">
      <c r="K1036" s="93"/>
    </row>
    <row r="1037" spans="5:11" x14ac:dyDescent="0.2">
      <c r="K1037" s="93"/>
    </row>
    <row r="1038" spans="5:11" x14ac:dyDescent="0.2">
      <c r="K1038" s="93"/>
    </row>
    <row r="1039" spans="5:11" x14ac:dyDescent="0.2">
      <c r="K1039" s="93"/>
    </row>
    <row r="1040" spans="5:11" x14ac:dyDescent="0.2">
      <c r="E1040" s="93"/>
      <c r="K1040" s="93"/>
    </row>
    <row r="1041" spans="5:11" x14ac:dyDescent="0.2">
      <c r="K1041" s="93"/>
    </row>
    <row r="1042" spans="5:11" x14ac:dyDescent="0.2">
      <c r="E1042" s="93"/>
      <c r="K1042" s="93"/>
    </row>
    <row r="1043" spans="5:11" x14ac:dyDescent="0.2">
      <c r="K1043" s="93"/>
    </row>
    <row r="1044" spans="5:11" x14ac:dyDescent="0.2">
      <c r="E1044" s="93"/>
      <c r="K1044" s="93"/>
    </row>
    <row r="1045" spans="5:11" x14ac:dyDescent="0.2">
      <c r="E1045" s="93"/>
      <c r="K1045" s="93"/>
    </row>
    <row r="1046" spans="5:11" x14ac:dyDescent="0.2">
      <c r="K1046" s="93"/>
    </row>
    <row r="1047" spans="5:11" x14ac:dyDescent="0.2">
      <c r="E1047" s="93"/>
      <c r="K1047" s="93"/>
    </row>
    <row r="1048" spans="5:11" x14ac:dyDescent="0.2">
      <c r="K1048" s="93"/>
    </row>
    <row r="1049" spans="5:11" x14ac:dyDescent="0.2">
      <c r="E1049" s="93"/>
      <c r="K1049" s="93"/>
    </row>
    <row r="1050" spans="5:11" x14ac:dyDescent="0.2">
      <c r="E1050" s="93"/>
      <c r="K1050" s="93"/>
    </row>
    <row r="1051" spans="5:11" x14ac:dyDescent="0.2">
      <c r="K1051" s="93"/>
    </row>
    <row r="1052" spans="5:11" x14ac:dyDescent="0.2">
      <c r="E1052" s="93"/>
      <c r="K1052" s="93"/>
    </row>
    <row r="1053" spans="5:11" x14ac:dyDescent="0.2">
      <c r="K1053" s="93"/>
    </row>
    <row r="1054" spans="5:11" x14ac:dyDescent="0.2">
      <c r="E1054" s="93"/>
      <c r="K1054" s="93"/>
    </row>
    <row r="1055" spans="5:11" x14ac:dyDescent="0.2">
      <c r="K1055" s="93"/>
    </row>
    <row r="1056" spans="5:11" x14ac:dyDescent="0.2">
      <c r="E1056" s="93"/>
      <c r="K1056" s="93"/>
    </row>
    <row r="1057" spans="5:11" x14ac:dyDescent="0.2">
      <c r="K1057" s="93"/>
    </row>
    <row r="1058" spans="5:11" x14ac:dyDescent="0.2">
      <c r="K1058" s="93"/>
    </row>
    <row r="1059" spans="5:11" x14ac:dyDescent="0.2">
      <c r="K1059" s="93"/>
    </row>
    <row r="1060" spans="5:11" x14ac:dyDescent="0.2">
      <c r="K1060" s="93"/>
    </row>
    <row r="1061" spans="5:11" x14ac:dyDescent="0.2">
      <c r="E1061" s="93"/>
      <c r="K1061" s="93"/>
    </row>
    <row r="1062" spans="5:11" x14ac:dyDescent="0.2">
      <c r="K1062" s="93"/>
    </row>
    <row r="1063" spans="5:11" x14ac:dyDescent="0.2">
      <c r="K1063" s="93"/>
    </row>
    <row r="1064" spans="5:11" x14ac:dyDescent="0.2">
      <c r="K1064" s="93"/>
    </row>
    <row r="1065" spans="5:11" x14ac:dyDescent="0.2">
      <c r="E1065" s="93"/>
      <c r="K1065" s="93"/>
    </row>
    <row r="1066" spans="5:11" x14ac:dyDescent="0.2">
      <c r="K1066" s="93"/>
    </row>
    <row r="1067" spans="5:11" x14ac:dyDescent="0.2">
      <c r="E1067" s="93"/>
      <c r="K1067" s="93"/>
    </row>
    <row r="1068" spans="5:11" x14ac:dyDescent="0.2">
      <c r="E1068" s="93"/>
      <c r="K1068" s="93"/>
    </row>
    <row r="1069" spans="5:11" x14ac:dyDescent="0.2">
      <c r="E1069" s="93"/>
      <c r="K1069" s="93"/>
    </row>
    <row r="1070" spans="5:11" x14ac:dyDescent="0.2">
      <c r="E1070" s="93"/>
      <c r="K1070" s="93"/>
    </row>
    <row r="1071" spans="5:11" x14ac:dyDescent="0.2">
      <c r="E1071" s="93"/>
      <c r="K1071" s="93"/>
    </row>
    <row r="1072" spans="5:11" x14ac:dyDescent="0.2">
      <c r="E1072" s="93"/>
      <c r="K1072" s="93"/>
    </row>
    <row r="1073" spans="5:11" x14ac:dyDescent="0.2">
      <c r="E1073" s="93"/>
      <c r="K1073" s="93"/>
    </row>
    <row r="1074" spans="5:11" x14ac:dyDescent="0.2">
      <c r="K1074" s="93"/>
    </row>
    <row r="1075" spans="5:11" x14ac:dyDescent="0.2">
      <c r="E1075" s="93"/>
      <c r="K1075" s="93"/>
    </row>
    <row r="1076" spans="5:11" x14ac:dyDescent="0.2">
      <c r="K1076" s="93"/>
    </row>
    <row r="1077" spans="5:11" x14ac:dyDescent="0.2">
      <c r="E1077" s="93"/>
      <c r="K1077" s="93"/>
    </row>
    <row r="1078" spans="5:11" x14ac:dyDescent="0.2">
      <c r="K1078" s="93"/>
    </row>
    <row r="1079" spans="5:11" x14ac:dyDescent="0.2">
      <c r="E1079" s="93"/>
      <c r="K1079" s="93"/>
    </row>
    <row r="1080" spans="5:11" x14ac:dyDescent="0.2">
      <c r="E1080" s="93"/>
      <c r="K1080" s="93"/>
    </row>
    <row r="1081" spans="5:11" x14ac:dyDescent="0.2">
      <c r="E1081" s="93"/>
      <c r="K1081" s="93"/>
    </row>
    <row r="1082" spans="5:11" x14ac:dyDescent="0.2">
      <c r="E1082" s="93"/>
      <c r="K1082" s="93"/>
    </row>
    <row r="1083" spans="5:11" x14ac:dyDescent="0.2">
      <c r="K1083" s="93"/>
    </row>
    <row r="1084" spans="5:11" x14ac:dyDescent="0.2">
      <c r="K1084" s="93"/>
    </row>
    <row r="1085" spans="5:11" x14ac:dyDescent="0.2">
      <c r="E1085" s="93"/>
      <c r="K1085" s="93"/>
    </row>
    <row r="1086" spans="5:11" x14ac:dyDescent="0.2">
      <c r="E1086" s="93"/>
      <c r="K1086" s="93"/>
    </row>
    <row r="1087" spans="5:11" x14ac:dyDescent="0.2">
      <c r="E1087" s="93"/>
      <c r="K1087" s="93"/>
    </row>
    <row r="1088" spans="5:11" x14ac:dyDescent="0.2">
      <c r="E1088" s="93"/>
      <c r="K1088" s="93"/>
    </row>
    <row r="1089" spans="5:11" x14ac:dyDescent="0.2">
      <c r="E1089" s="93"/>
      <c r="K1089" s="93"/>
    </row>
    <row r="1090" spans="5:11" x14ac:dyDescent="0.2">
      <c r="E1090" s="93"/>
      <c r="K1090" s="93"/>
    </row>
    <row r="1091" spans="5:11" x14ac:dyDescent="0.2">
      <c r="K1091" s="93"/>
    </row>
    <row r="1092" spans="5:11" x14ac:dyDescent="0.2">
      <c r="E1092" s="93"/>
      <c r="K1092" s="93"/>
    </row>
    <row r="1093" spans="5:11" x14ac:dyDescent="0.2">
      <c r="K1093" s="93"/>
    </row>
    <row r="1094" spans="5:11" x14ac:dyDescent="0.2">
      <c r="E1094" s="93"/>
      <c r="K1094" s="93"/>
    </row>
    <row r="1095" spans="5:11" x14ac:dyDescent="0.2">
      <c r="E1095" s="93"/>
      <c r="K1095" s="93"/>
    </row>
    <row r="1096" spans="5:11" x14ac:dyDescent="0.2">
      <c r="E1096" s="93"/>
      <c r="K1096" s="93"/>
    </row>
    <row r="1097" spans="5:11" x14ac:dyDescent="0.2">
      <c r="E1097" s="93"/>
      <c r="K1097" s="93"/>
    </row>
    <row r="1098" spans="5:11" x14ac:dyDescent="0.2">
      <c r="E1098" s="93"/>
      <c r="K1098" s="93"/>
    </row>
    <row r="1099" spans="5:11" x14ac:dyDescent="0.2">
      <c r="E1099" s="93"/>
      <c r="K1099" s="93"/>
    </row>
    <row r="1100" spans="5:11" x14ac:dyDescent="0.2">
      <c r="E1100" s="93"/>
      <c r="K1100" s="93"/>
    </row>
    <row r="1101" spans="5:11" x14ac:dyDescent="0.2">
      <c r="E1101" s="93"/>
      <c r="K1101" s="93"/>
    </row>
    <row r="1102" spans="5:11" x14ac:dyDescent="0.2">
      <c r="E1102" s="93"/>
      <c r="K1102" s="93"/>
    </row>
    <row r="1103" spans="5:11" x14ac:dyDescent="0.2">
      <c r="K1103" s="93"/>
    </row>
    <row r="1104" spans="5:11" x14ac:dyDescent="0.2">
      <c r="E1104" s="93"/>
      <c r="K1104" s="93"/>
    </row>
    <row r="1105" spans="5:11" x14ac:dyDescent="0.2">
      <c r="E1105" s="93"/>
      <c r="K1105" s="93"/>
    </row>
    <row r="1106" spans="5:11" x14ac:dyDescent="0.2">
      <c r="E1106" s="93"/>
      <c r="K1106" s="93"/>
    </row>
    <row r="1107" spans="5:11" x14ac:dyDescent="0.2">
      <c r="K1107" s="93"/>
    </row>
    <row r="1108" spans="5:11" x14ac:dyDescent="0.2">
      <c r="K1108" s="93"/>
    </row>
    <row r="1109" spans="5:11" x14ac:dyDescent="0.2">
      <c r="K1109" s="93"/>
    </row>
    <row r="1110" spans="5:11" x14ac:dyDescent="0.2">
      <c r="E1110" s="93"/>
      <c r="K1110" s="93"/>
    </row>
    <row r="1111" spans="5:11" x14ac:dyDescent="0.2">
      <c r="E1111" s="93"/>
      <c r="K1111" s="93"/>
    </row>
    <row r="1112" spans="5:11" x14ac:dyDescent="0.2">
      <c r="E1112" s="93"/>
      <c r="K1112" s="93"/>
    </row>
    <row r="1113" spans="5:11" x14ac:dyDescent="0.2">
      <c r="E1113" s="93"/>
      <c r="K1113" s="93"/>
    </row>
    <row r="1114" spans="5:11" x14ac:dyDescent="0.2">
      <c r="K1114" s="93"/>
    </row>
    <row r="1115" spans="5:11" x14ac:dyDescent="0.2">
      <c r="E1115" s="93"/>
      <c r="K1115" s="93"/>
    </row>
    <row r="1116" spans="5:11" x14ac:dyDescent="0.2">
      <c r="E1116" s="93"/>
      <c r="K1116" s="93"/>
    </row>
    <row r="1117" spans="5:11" x14ac:dyDescent="0.2">
      <c r="K1117" s="93"/>
    </row>
    <row r="1118" spans="5:11" x14ac:dyDescent="0.2">
      <c r="E1118" s="93"/>
      <c r="K1118" s="93"/>
    </row>
    <row r="1119" spans="5:11" x14ac:dyDescent="0.2">
      <c r="E1119" s="93"/>
      <c r="K1119" s="93"/>
    </row>
    <row r="1120" spans="5:11" x14ac:dyDescent="0.2">
      <c r="E1120" s="93"/>
      <c r="K1120" s="93"/>
    </row>
    <row r="1121" spans="5:11" x14ac:dyDescent="0.2">
      <c r="E1121" s="93"/>
      <c r="K1121" s="93"/>
    </row>
    <row r="1122" spans="5:11" x14ac:dyDescent="0.2">
      <c r="K1122" s="93"/>
    </row>
    <row r="1123" spans="5:11" x14ac:dyDescent="0.2">
      <c r="K1123" s="93"/>
    </row>
    <row r="1124" spans="5:11" x14ac:dyDescent="0.2">
      <c r="E1124" s="93"/>
      <c r="K1124" s="93"/>
    </row>
    <row r="1125" spans="5:11" x14ac:dyDescent="0.2">
      <c r="E1125" s="93"/>
      <c r="K1125" s="93"/>
    </row>
    <row r="1126" spans="5:11" x14ac:dyDescent="0.2">
      <c r="K1126" s="93"/>
    </row>
    <row r="1127" spans="5:11" x14ac:dyDescent="0.2">
      <c r="E1127" s="93"/>
      <c r="K1127" s="93"/>
    </row>
    <row r="1128" spans="5:11" x14ac:dyDescent="0.2">
      <c r="K1128" s="93"/>
    </row>
    <row r="1129" spans="5:11" x14ac:dyDescent="0.2">
      <c r="E1129" s="93"/>
      <c r="K1129" s="93"/>
    </row>
    <row r="1130" spans="5:11" x14ac:dyDescent="0.2">
      <c r="E1130" s="93"/>
      <c r="K1130" s="93"/>
    </row>
    <row r="1131" spans="5:11" x14ac:dyDescent="0.2">
      <c r="E1131" s="93"/>
      <c r="K1131" s="93"/>
    </row>
    <row r="1132" spans="5:11" x14ac:dyDescent="0.2">
      <c r="E1132" s="93"/>
      <c r="K1132" s="93"/>
    </row>
    <row r="1133" spans="5:11" x14ac:dyDescent="0.2">
      <c r="K1133" s="93"/>
    </row>
    <row r="1134" spans="5:11" x14ac:dyDescent="0.2">
      <c r="E1134" s="93"/>
      <c r="K1134" s="93"/>
    </row>
    <row r="1135" spans="5:11" x14ac:dyDescent="0.2">
      <c r="E1135" s="93"/>
      <c r="K1135" s="93"/>
    </row>
    <row r="1136" spans="5:11" x14ac:dyDescent="0.2">
      <c r="E1136" s="93"/>
      <c r="K1136" s="93"/>
    </row>
    <row r="1137" spans="5:11" x14ac:dyDescent="0.2">
      <c r="E1137" s="93"/>
      <c r="K1137" s="93"/>
    </row>
    <row r="1138" spans="5:11" x14ac:dyDescent="0.2">
      <c r="K1138" s="93"/>
    </row>
    <row r="1139" spans="5:11" x14ac:dyDescent="0.2">
      <c r="E1139" s="93"/>
      <c r="K1139" s="93"/>
    </row>
    <row r="1140" spans="5:11" x14ac:dyDescent="0.2">
      <c r="K1140" s="93"/>
    </row>
    <row r="1141" spans="5:11" x14ac:dyDescent="0.2">
      <c r="K1141" s="93"/>
    </row>
    <row r="1142" spans="5:11" x14ac:dyDescent="0.2">
      <c r="K1142" s="93"/>
    </row>
    <row r="1143" spans="5:11" x14ac:dyDescent="0.2">
      <c r="E1143" s="93"/>
      <c r="K1143" s="93"/>
    </row>
    <row r="1144" spans="5:11" x14ac:dyDescent="0.2">
      <c r="K1144" s="93"/>
    </row>
    <row r="1145" spans="5:11" x14ac:dyDescent="0.2">
      <c r="E1145" s="93"/>
      <c r="K1145" s="93"/>
    </row>
    <row r="1146" spans="5:11" x14ac:dyDescent="0.2">
      <c r="E1146" s="93"/>
      <c r="K1146" s="93"/>
    </row>
    <row r="1147" spans="5:11" x14ac:dyDescent="0.2">
      <c r="E1147" s="93"/>
      <c r="K1147" s="93"/>
    </row>
    <row r="1148" spans="5:11" x14ac:dyDescent="0.2">
      <c r="K1148" s="93"/>
    </row>
    <row r="1149" spans="5:11" x14ac:dyDescent="0.2">
      <c r="E1149" s="93"/>
      <c r="K1149" s="93"/>
    </row>
    <row r="1150" spans="5:11" x14ac:dyDescent="0.2">
      <c r="K1150" s="93"/>
    </row>
    <row r="1151" spans="5:11" x14ac:dyDescent="0.2">
      <c r="E1151" s="93"/>
      <c r="K1151" s="93"/>
    </row>
    <row r="1152" spans="5:11" x14ac:dyDescent="0.2">
      <c r="E1152" s="93"/>
      <c r="K1152" s="93"/>
    </row>
    <row r="1153" spans="5:11" x14ac:dyDescent="0.2">
      <c r="E1153" s="93"/>
      <c r="K1153" s="93"/>
    </row>
    <row r="1154" spans="5:11" x14ac:dyDescent="0.2">
      <c r="E1154" s="93"/>
      <c r="K1154" s="93"/>
    </row>
    <row r="1155" spans="5:11" x14ac:dyDescent="0.2">
      <c r="K1155" s="93"/>
    </row>
    <row r="1156" spans="5:11" x14ac:dyDescent="0.2">
      <c r="E1156" s="93"/>
      <c r="K1156" s="93"/>
    </row>
    <row r="1157" spans="5:11" x14ac:dyDescent="0.2">
      <c r="E1157" s="93"/>
      <c r="K1157" s="93"/>
    </row>
    <row r="1158" spans="5:11" x14ac:dyDescent="0.2">
      <c r="E1158" s="93"/>
      <c r="K1158" s="93"/>
    </row>
    <row r="1159" spans="5:11" x14ac:dyDescent="0.2">
      <c r="E1159" s="93"/>
      <c r="K1159" s="93"/>
    </row>
    <row r="1160" spans="5:11" x14ac:dyDescent="0.2">
      <c r="E1160" s="93"/>
      <c r="K1160" s="93"/>
    </row>
    <row r="1161" spans="5:11" x14ac:dyDescent="0.2">
      <c r="K1161" s="93"/>
    </row>
    <row r="1162" spans="5:11" x14ac:dyDescent="0.2">
      <c r="E1162" s="93"/>
      <c r="K1162" s="93"/>
    </row>
    <row r="1163" spans="5:11" x14ac:dyDescent="0.2">
      <c r="E1163" s="93"/>
      <c r="K1163" s="93"/>
    </row>
    <row r="1164" spans="5:11" x14ac:dyDescent="0.2">
      <c r="E1164" s="93"/>
      <c r="K1164" s="93"/>
    </row>
    <row r="1165" spans="5:11" x14ac:dyDescent="0.2">
      <c r="E1165" s="93"/>
      <c r="K1165" s="93"/>
    </row>
    <row r="1166" spans="5:11" x14ac:dyDescent="0.2">
      <c r="E1166" s="93"/>
      <c r="K1166" s="93"/>
    </row>
    <row r="1167" spans="5:11" x14ac:dyDescent="0.2">
      <c r="K1167" s="93"/>
    </row>
    <row r="1168" spans="5:11" x14ac:dyDescent="0.2">
      <c r="K1168" s="93"/>
    </row>
    <row r="1169" spans="5:11" x14ac:dyDescent="0.2">
      <c r="K1169" s="93"/>
    </row>
    <row r="1170" spans="5:11" x14ac:dyDescent="0.2">
      <c r="K1170" s="93"/>
    </row>
    <row r="1171" spans="5:11" x14ac:dyDescent="0.2">
      <c r="E1171" s="93"/>
      <c r="K1171" s="93"/>
    </row>
    <row r="1172" spans="5:11" x14ac:dyDescent="0.2">
      <c r="K1172" s="93"/>
    </row>
    <row r="1173" spans="5:11" x14ac:dyDescent="0.2">
      <c r="E1173" s="93"/>
      <c r="K1173" s="93"/>
    </row>
    <row r="1174" spans="5:11" x14ac:dyDescent="0.2">
      <c r="K1174" s="93"/>
    </row>
    <row r="1175" spans="5:11" x14ac:dyDescent="0.2">
      <c r="E1175" s="93"/>
      <c r="K1175" s="93"/>
    </row>
    <row r="1176" spans="5:11" x14ac:dyDescent="0.2">
      <c r="E1176" s="93"/>
      <c r="K1176" s="93"/>
    </row>
    <row r="1177" spans="5:11" x14ac:dyDescent="0.2">
      <c r="E1177" s="93"/>
      <c r="K1177" s="93"/>
    </row>
    <row r="1178" spans="5:11" x14ac:dyDescent="0.2">
      <c r="E1178" s="93"/>
      <c r="K1178" s="93"/>
    </row>
    <row r="1179" spans="5:11" x14ac:dyDescent="0.2">
      <c r="E1179" s="93"/>
      <c r="K1179" s="93"/>
    </row>
    <row r="1180" spans="5:11" x14ac:dyDescent="0.2">
      <c r="E1180" s="93"/>
      <c r="K1180" s="93"/>
    </row>
    <row r="1181" spans="5:11" x14ac:dyDescent="0.2">
      <c r="K1181" s="93"/>
    </row>
    <row r="1182" spans="5:11" x14ac:dyDescent="0.2">
      <c r="K1182" s="93"/>
    </row>
    <row r="1183" spans="5:11" x14ac:dyDescent="0.2">
      <c r="E1183" s="93"/>
      <c r="K1183" s="93"/>
    </row>
    <row r="1184" spans="5:11" x14ac:dyDescent="0.2">
      <c r="K1184" s="93"/>
    </row>
    <row r="1185" spans="5:11" x14ac:dyDescent="0.2">
      <c r="K1185" s="93"/>
    </row>
    <row r="1186" spans="5:11" x14ac:dyDescent="0.2">
      <c r="K1186" s="93"/>
    </row>
    <row r="1187" spans="5:11" x14ac:dyDescent="0.2">
      <c r="K1187" s="93"/>
    </row>
    <row r="1188" spans="5:11" x14ac:dyDescent="0.2">
      <c r="E1188" s="93"/>
      <c r="K1188" s="93"/>
    </row>
    <row r="1189" spans="5:11" x14ac:dyDescent="0.2">
      <c r="E1189" s="93"/>
      <c r="K1189" s="93"/>
    </row>
    <row r="1190" spans="5:11" x14ac:dyDescent="0.2">
      <c r="E1190" s="93"/>
      <c r="K1190" s="93"/>
    </row>
    <row r="1191" spans="5:11" x14ac:dyDescent="0.2">
      <c r="K1191" s="93"/>
    </row>
    <row r="1192" spans="5:11" x14ac:dyDescent="0.2">
      <c r="E1192" s="93"/>
      <c r="K1192" s="93"/>
    </row>
    <row r="1193" spans="5:11" x14ac:dyDescent="0.2">
      <c r="E1193" s="93"/>
      <c r="K1193" s="93"/>
    </row>
    <row r="1194" spans="5:11" x14ac:dyDescent="0.2">
      <c r="K1194" s="93"/>
    </row>
    <row r="1195" spans="5:11" x14ac:dyDescent="0.2">
      <c r="E1195" s="93"/>
      <c r="K1195" s="93"/>
    </row>
    <row r="1196" spans="5:11" x14ac:dyDescent="0.2">
      <c r="E1196" s="93"/>
      <c r="K1196" s="93"/>
    </row>
    <row r="1197" spans="5:11" x14ac:dyDescent="0.2">
      <c r="E1197" s="93"/>
      <c r="K1197" s="93"/>
    </row>
    <row r="1198" spans="5:11" x14ac:dyDescent="0.2">
      <c r="K1198" s="93"/>
    </row>
    <row r="1199" spans="5:11" x14ac:dyDescent="0.2">
      <c r="E1199" s="93"/>
      <c r="K1199" s="93"/>
    </row>
    <row r="1200" spans="5:11" x14ac:dyDescent="0.2">
      <c r="E1200" s="93"/>
      <c r="K1200" s="93"/>
    </row>
    <row r="1201" spans="5:11" x14ac:dyDescent="0.2">
      <c r="K1201" s="93"/>
    </row>
    <row r="1202" spans="5:11" x14ac:dyDescent="0.2">
      <c r="E1202" s="93"/>
      <c r="K1202" s="93"/>
    </row>
    <row r="1203" spans="5:11" x14ac:dyDescent="0.2">
      <c r="K1203" s="93"/>
    </row>
    <row r="1204" spans="5:11" x14ac:dyDescent="0.2">
      <c r="K1204" s="93"/>
    </row>
    <row r="1205" spans="5:11" x14ac:dyDescent="0.2">
      <c r="E1205" s="93"/>
      <c r="K1205" s="93"/>
    </row>
    <row r="1206" spans="5:11" x14ac:dyDescent="0.2">
      <c r="E1206" s="93"/>
      <c r="K1206" s="93"/>
    </row>
    <row r="1207" spans="5:11" x14ac:dyDescent="0.2">
      <c r="E1207" s="93"/>
      <c r="K1207" s="93"/>
    </row>
    <row r="1208" spans="5:11" x14ac:dyDescent="0.2">
      <c r="E1208" s="93"/>
      <c r="K1208" s="93"/>
    </row>
    <row r="1209" spans="5:11" x14ac:dyDescent="0.2">
      <c r="K1209" s="93"/>
    </row>
    <row r="1210" spans="5:11" x14ac:dyDescent="0.2">
      <c r="E1210" s="93"/>
      <c r="K1210" s="93"/>
    </row>
    <row r="1211" spans="5:11" x14ac:dyDescent="0.2">
      <c r="K1211" s="93"/>
    </row>
    <row r="1212" spans="5:11" x14ac:dyDescent="0.2">
      <c r="E1212" s="93"/>
      <c r="K1212" s="93"/>
    </row>
    <row r="1213" spans="5:11" x14ac:dyDescent="0.2">
      <c r="K1213" s="93"/>
    </row>
    <row r="1214" spans="5:11" x14ac:dyDescent="0.2">
      <c r="K1214" s="93"/>
    </row>
    <row r="1215" spans="5:11" x14ac:dyDescent="0.2">
      <c r="E1215" s="93"/>
      <c r="K1215" s="93"/>
    </row>
    <row r="1216" spans="5:11" x14ac:dyDescent="0.2">
      <c r="E1216" s="93"/>
      <c r="K1216" s="93"/>
    </row>
    <row r="1217" spans="5:11" x14ac:dyDescent="0.2">
      <c r="E1217" s="93"/>
      <c r="K1217" s="93"/>
    </row>
    <row r="1218" spans="5:11" x14ac:dyDescent="0.2">
      <c r="E1218" s="93"/>
      <c r="K1218" s="93"/>
    </row>
    <row r="1219" spans="5:11" x14ac:dyDescent="0.2">
      <c r="E1219" s="93"/>
      <c r="K1219" s="93"/>
    </row>
    <row r="1220" spans="5:11" x14ac:dyDescent="0.2">
      <c r="E1220" s="93"/>
      <c r="K1220" s="93"/>
    </row>
    <row r="1221" spans="5:11" x14ac:dyDescent="0.2">
      <c r="E1221" s="93"/>
      <c r="K1221" s="93"/>
    </row>
    <row r="1222" spans="5:11" x14ac:dyDescent="0.2">
      <c r="K1222" s="93"/>
    </row>
    <row r="1223" spans="5:11" x14ac:dyDescent="0.2">
      <c r="E1223" s="93"/>
      <c r="K1223" s="93"/>
    </row>
    <row r="1224" spans="5:11" x14ac:dyDescent="0.2">
      <c r="E1224" s="93"/>
      <c r="K1224" s="93"/>
    </row>
    <row r="1225" spans="5:11" x14ac:dyDescent="0.2">
      <c r="E1225" s="93"/>
      <c r="K1225" s="93"/>
    </row>
    <row r="1226" spans="5:11" x14ac:dyDescent="0.2">
      <c r="E1226" s="93"/>
      <c r="K1226" s="93"/>
    </row>
    <row r="1227" spans="5:11" x14ac:dyDescent="0.2">
      <c r="K1227" s="93"/>
    </row>
    <row r="1228" spans="5:11" x14ac:dyDescent="0.2">
      <c r="E1228" s="93"/>
      <c r="K1228" s="93"/>
    </row>
    <row r="1229" spans="5:11" x14ac:dyDescent="0.2">
      <c r="K1229" s="93"/>
    </row>
    <row r="1230" spans="5:11" x14ac:dyDescent="0.2">
      <c r="E1230" s="93"/>
      <c r="K1230" s="93"/>
    </row>
    <row r="1231" spans="5:11" x14ac:dyDescent="0.2">
      <c r="E1231" s="93"/>
      <c r="K1231" s="93"/>
    </row>
    <row r="1232" spans="5:11" x14ac:dyDescent="0.2">
      <c r="K1232" s="93"/>
    </row>
    <row r="1233" spans="5:11" x14ac:dyDescent="0.2">
      <c r="K1233" s="93"/>
    </row>
    <row r="1234" spans="5:11" x14ac:dyDescent="0.2">
      <c r="E1234" s="93"/>
      <c r="K1234" s="93"/>
    </row>
    <row r="1235" spans="5:11" x14ac:dyDescent="0.2">
      <c r="E1235" s="93"/>
      <c r="K1235" s="93"/>
    </row>
    <row r="1236" spans="5:11" x14ac:dyDescent="0.2">
      <c r="K1236" s="93"/>
    </row>
    <row r="1237" spans="5:11" x14ac:dyDescent="0.2">
      <c r="K1237" s="93"/>
    </row>
    <row r="1238" spans="5:11" x14ac:dyDescent="0.2">
      <c r="K1238" s="93"/>
    </row>
    <row r="1239" spans="5:11" x14ac:dyDescent="0.2">
      <c r="K1239" s="93"/>
    </row>
    <row r="1240" spans="5:11" x14ac:dyDescent="0.2">
      <c r="E1240" s="93"/>
      <c r="K1240" s="93"/>
    </row>
    <row r="1241" spans="5:11" x14ac:dyDescent="0.2">
      <c r="K1241" s="93"/>
    </row>
    <row r="1242" spans="5:11" x14ac:dyDescent="0.2">
      <c r="K1242" s="93"/>
    </row>
    <row r="1243" spans="5:11" x14ac:dyDescent="0.2">
      <c r="E1243" s="93"/>
      <c r="K1243" s="93"/>
    </row>
    <row r="1244" spans="5:11" x14ac:dyDescent="0.2">
      <c r="E1244" s="93"/>
      <c r="K1244" s="93"/>
    </row>
    <row r="1245" spans="5:11" x14ac:dyDescent="0.2">
      <c r="K1245" s="93"/>
    </row>
    <row r="1246" spans="5:11" x14ac:dyDescent="0.2">
      <c r="K1246" s="93"/>
    </row>
    <row r="1247" spans="5:11" x14ac:dyDescent="0.2">
      <c r="K1247" s="93"/>
    </row>
    <row r="1248" spans="5:11" x14ac:dyDescent="0.2">
      <c r="E1248" s="93"/>
      <c r="K1248" s="93"/>
    </row>
    <row r="1249" spans="5:11" x14ac:dyDescent="0.2">
      <c r="E1249" s="93"/>
      <c r="K1249" s="93"/>
    </row>
    <row r="1250" spans="5:11" x14ac:dyDescent="0.2">
      <c r="E1250" s="93"/>
      <c r="K1250" s="93"/>
    </row>
    <row r="1251" spans="5:11" x14ac:dyDescent="0.2">
      <c r="K1251" s="93"/>
    </row>
    <row r="1252" spans="5:11" x14ac:dyDescent="0.2">
      <c r="K1252" s="93"/>
    </row>
    <row r="1253" spans="5:11" x14ac:dyDescent="0.2">
      <c r="E1253" s="93"/>
      <c r="K1253" s="93"/>
    </row>
    <row r="1254" spans="5:11" x14ac:dyDescent="0.2">
      <c r="K1254" s="93"/>
    </row>
    <row r="1255" spans="5:11" x14ac:dyDescent="0.2">
      <c r="E1255" s="93"/>
      <c r="K1255" s="93"/>
    </row>
    <row r="1256" spans="5:11" x14ac:dyDescent="0.2">
      <c r="E1256" s="93"/>
      <c r="K1256" s="93"/>
    </row>
    <row r="1257" spans="5:11" x14ac:dyDescent="0.2">
      <c r="E1257" s="93"/>
      <c r="K1257" s="93"/>
    </row>
    <row r="1258" spans="5:11" x14ac:dyDescent="0.2">
      <c r="E1258" s="93"/>
      <c r="K1258" s="93"/>
    </row>
    <row r="1259" spans="5:11" x14ac:dyDescent="0.2">
      <c r="E1259" s="93"/>
      <c r="K1259" s="93"/>
    </row>
    <row r="1260" spans="5:11" x14ac:dyDescent="0.2">
      <c r="E1260" s="93"/>
      <c r="K1260" s="93"/>
    </row>
    <row r="1261" spans="5:11" x14ac:dyDescent="0.2">
      <c r="K1261" s="93"/>
    </row>
    <row r="1262" spans="5:11" x14ac:dyDescent="0.2">
      <c r="E1262" s="93"/>
      <c r="K1262" s="93"/>
    </row>
    <row r="1263" spans="5:11" x14ac:dyDescent="0.2">
      <c r="E1263" s="93"/>
      <c r="K1263" s="93"/>
    </row>
    <row r="1264" spans="5:11" x14ac:dyDescent="0.2">
      <c r="E1264" s="93"/>
      <c r="K1264" s="93"/>
    </row>
    <row r="1265" spans="5:11" x14ac:dyDescent="0.2">
      <c r="E1265" s="93"/>
      <c r="K1265" s="93"/>
    </row>
    <row r="1266" spans="5:11" x14ac:dyDescent="0.2">
      <c r="E1266" s="93"/>
      <c r="K1266" s="93"/>
    </row>
    <row r="1267" spans="5:11" x14ac:dyDescent="0.2">
      <c r="E1267" s="93"/>
      <c r="K1267" s="93"/>
    </row>
    <row r="1268" spans="5:11" x14ac:dyDescent="0.2">
      <c r="E1268" s="93"/>
      <c r="K1268" s="93"/>
    </row>
    <row r="1269" spans="5:11" x14ac:dyDescent="0.2">
      <c r="E1269" s="93"/>
      <c r="K1269" s="93"/>
    </row>
    <row r="1270" spans="5:11" x14ac:dyDescent="0.2">
      <c r="E1270" s="93"/>
      <c r="K1270" s="93"/>
    </row>
    <row r="1271" spans="5:11" x14ac:dyDescent="0.2">
      <c r="E1271" s="93"/>
      <c r="K1271" s="93"/>
    </row>
    <row r="1272" spans="5:11" x14ac:dyDescent="0.2">
      <c r="E1272" s="93"/>
      <c r="K1272" s="93"/>
    </row>
    <row r="1273" spans="5:11" x14ac:dyDescent="0.2">
      <c r="K1273" s="93"/>
    </row>
    <row r="1274" spans="5:11" x14ac:dyDescent="0.2">
      <c r="E1274" s="93"/>
      <c r="K1274" s="93"/>
    </row>
    <row r="1275" spans="5:11" x14ac:dyDescent="0.2">
      <c r="E1275" s="93"/>
      <c r="K1275" s="93"/>
    </row>
    <row r="1276" spans="5:11" x14ac:dyDescent="0.2">
      <c r="E1276" s="93"/>
      <c r="K1276" s="93"/>
    </row>
    <row r="1277" spans="5:11" x14ac:dyDescent="0.2">
      <c r="E1277" s="93"/>
      <c r="K1277" s="93"/>
    </row>
    <row r="1278" spans="5:11" x14ac:dyDescent="0.2">
      <c r="K1278" s="93"/>
    </row>
    <row r="1279" spans="5:11" x14ac:dyDescent="0.2">
      <c r="E1279" s="93"/>
      <c r="K1279" s="93"/>
    </row>
    <row r="1280" spans="5:11" x14ac:dyDescent="0.2">
      <c r="K1280" s="93"/>
    </row>
    <row r="1281" spans="5:11" x14ac:dyDescent="0.2">
      <c r="K1281" s="93"/>
    </row>
    <row r="1282" spans="5:11" x14ac:dyDescent="0.2">
      <c r="E1282" s="93"/>
      <c r="K1282" s="93"/>
    </row>
    <row r="1283" spans="5:11" x14ac:dyDescent="0.2">
      <c r="E1283" s="93"/>
      <c r="K1283" s="93"/>
    </row>
    <row r="1284" spans="5:11" x14ac:dyDescent="0.2">
      <c r="E1284" s="93"/>
      <c r="K1284" s="93"/>
    </row>
    <row r="1285" spans="5:11" x14ac:dyDescent="0.2">
      <c r="K1285" s="93"/>
    </row>
    <row r="1286" spans="5:11" x14ac:dyDescent="0.2">
      <c r="E1286" s="93"/>
      <c r="K1286" s="93"/>
    </row>
    <row r="1287" spans="5:11" x14ac:dyDescent="0.2">
      <c r="K1287" s="93"/>
    </row>
    <row r="1288" spans="5:11" x14ac:dyDescent="0.2">
      <c r="E1288" s="93"/>
      <c r="K1288" s="93"/>
    </row>
    <row r="1289" spans="5:11" x14ac:dyDescent="0.2">
      <c r="E1289" s="93"/>
      <c r="K1289" s="93"/>
    </row>
    <row r="1290" spans="5:11" x14ac:dyDescent="0.2">
      <c r="E1290" s="93"/>
      <c r="K1290" s="93"/>
    </row>
    <row r="1291" spans="5:11" x14ac:dyDescent="0.2">
      <c r="E1291" s="93"/>
      <c r="K1291" s="93"/>
    </row>
    <row r="1292" spans="5:11" x14ac:dyDescent="0.2">
      <c r="E1292" s="93"/>
      <c r="K1292" s="93"/>
    </row>
    <row r="1293" spans="5:11" x14ac:dyDescent="0.2">
      <c r="K1293" s="93"/>
    </row>
    <row r="1294" spans="5:11" x14ac:dyDescent="0.2">
      <c r="E1294" s="93"/>
      <c r="K1294" s="93"/>
    </row>
    <row r="1295" spans="5:11" x14ac:dyDescent="0.2">
      <c r="E1295" s="93"/>
      <c r="K1295" s="93"/>
    </row>
    <row r="1296" spans="5:11" x14ac:dyDescent="0.2">
      <c r="E1296" s="93"/>
      <c r="K1296" s="93"/>
    </row>
    <row r="1297" spans="5:11" x14ac:dyDescent="0.2">
      <c r="K1297" s="93"/>
    </row>
    <row r="1298" spans="5:11" x14ac:dyDescent="0.2">
      <c r="E1298" s="93"/>
      <c r="K1298" s="93"/>
    </row>
    <row r="1299" spans="5:11" x14ac:dyDescent="0.2">
      <c r="E1299" s="93"/>
      <c r="K1299" s="93"/>
    </row>
    <row r="1300" spans="5:11" x14ac:dyDescent="0.2">
      <c r="K1300" s="93"/>
    </row>
    <row r="1301" spans="5:11" x14ac:dyDescent="0.2">
      <c r="E1301" s="93"/>
      <c r="K1301" s="93"/>
    </row>
    <row r="1302" spans="5:11" x14ac:dyDescent="0.2">
      <c r="E1302" s="93"/>
      <c r="K1302" s="93"/>
    </row>
    <row r="1303" spans="5:11" x14ac:dyDescent="0.2">
      <c r="E1303" s="93"/>
      <c r="K1303" s="93"/>
    </row>
    <row r="1304" spans="5:11" x14ac:dyDescent="0.2">
      <c r="E1304" s="93"/>
      <c r="K1304" s="93"/>
    </row>
    <row r="1305" spans="5:11" x14ac:dyDescent="0.2">
      <c r="K1305" s="93"/>
    </row>
    <row r="1306" spans="5:11" x14ac:dyDescent="0.2">
      <c r="E1306" s="93"/>
      <c r="K1306" s="93"/>
    </row>
    <row r="1307" spans="5:11" x14ac:dyDescent="0.2">
      <c r="K1307" s="93"/>
    </row>
    <row r="1308" spans="5:11" x14ac:dyDescent="0.2">
      <c r="K1308" s="93"/>
    </row>
    <row r="1309" spans="5:11" x14ac:dyDescent="0.2">
      <c r="K1309" s="93"/>
    </row>
    <row r="1310" spans="5:11" x14ac:dyDescent="0.2">
      <c r="E1310" s="93"/>
      <c r="K1310" s="93"/>
    </row>
    <row r="1311" spans="5:11" x14ac:dyDescent="0.2">
      <c r="E1311" s="93"/>
      <c r="K1311" s="93"/>
    </row>
    <row r="1312" spans="5:11" x14ac:dyDescent="0.2">
      <c r="E1312" s="93"/>
      <c r="K1312" s="93"/>
    </row>
    <row r="1313" spans="5:11" x14ac:dyDescent="0.2">
      <c r="E1313" s="93"/>
      <c r="K1313" s="93"/>
    </row>
    <row r="1314" spans="5:11" x14ac:dyDescent="0.2">
      <c r="E1314" s="93"/>
      <c r="K1314" s="93"/>
    </row>
    <row r="1315" spans="5:11" x14ac:dyDescent="0.2">
      <c r="K1315" s="93"/>
    </row>
    <row r="1316" spans="5:11" x14ac:dyDescent="0.2">
      <c r="E1316" s="93"/>
      <c r="K1316" s="93"/>
    </row>
    <row r="1317" spans="5:11" x14ac:dyDescent="0.2">
      <c r="K1317" s="93"/>
    </row>
    <row r="1318" spans="5:11" x14ac:dyDescent="0.2">
      <c r="K1318" s="93"/>
    </row>
    <row r="1319" spans="5:11" x14ac:dyDescent="0.2">
      <c r="K1319" s="93"/>
    </row>
    <row r="1320" spans="5:11" x14ac:dyDescent="0.2">
      <c r="E1320" s="93"/>
      <c r="K1320" s="93"/>
    </row>
    <row r="1321" spans="5:11" x14ac:dyDescent="0.2">
      <c r="E1321" s="93"/>
      <c r="K1321" s="93"/>
    </row>
    <row r="1322" spans="5:11" x14ac:dyDescent="0.2">
      <c r="E1322" s="93"/>
      <c r="K1322" s="93"/>
    </row>
    <row r="1323" spans="5:11" x14ac:dyDescent="0.2">
      <c r="E1323" s="93"/>
      <c r="K1323" s="93"/>
    </row>
    <row r="1324" spans="5:11" x14ac:dyDescent="0.2">
      <c r="E1324" s="93"/>
      <c r="K1324" s="93"/>
    </row>
    <row r="1325" spans="5:11" x14ac:dyDescent="0.2">
      <c r="E1325" s="93"/>
      <c r="K1325" s="93"/>
    </row>
    <row r="1326" spans="5:11" x14ac:dyDescent="0.2">
      <c r="E1326" s="93"/>
      <c r="K1326" s="93"/>
    </row>
    <row r="1327" spans="5:11" x14ac:dyDescent="0.2">
      <c r="E1327" s="93"/>
      <c r="K1327" s="93"/>
    </row>
    <row r="1328" spans="5:11" x14ac:dyDescent="0.2">
      <c r="E1328" s="93"/>
      <c r="K1328" s="93"/>
    </row>
    <row r="1329" spans="5:11" x14ac:dyDescent="0.2">
      <c r="E1329" s="93"/>
      <c r="K1329" s="93"/>
    </row>
    <row r="1330" spans="5:11" x14ac:dyDescent="0.2">
      <c r="K1330" s="93"/>
    </row>
    <row r="1331" spans="5:11" x14ac:dyDescent="0.2">
      <c r="K1331" s="93"/>
    </row>
    <row r="1332" spans="5:11" x14ac:dyDescent="0.2">
      <c r="E1332" s="93"/>
      <c r="K1332" s="93"/>
    </row>
    <row r="1333" spans="5:11" x14ac:dyDescent="0.2">
      <c r="E1333" s="93"/>
      <c r="K1333" s="93"/>
    </row>
    <row r="1334" spans="5:11" x14ac:dyDescent="0.2">
      <c r="K1334" s="93"/>
    </row>
    <row r="1335" spans="5:11" x14ac:dyDescent="0.2">
      <c r="E1335" s="93"/>
      <c r="K1335" s="93"/>
    </row>
    <row r="1336" spans="5:11" x14ac:dyDescent="0.2">
      <c r="E1336" s="93"/>
      <c r="K1336" s="93"/>
    </row>
    <row r="1337" spans="5:11" x14ac:dyDescent="0.2">
      <c r="E1337" s="93"/>
      <c r="K1337" s="93"/>
    </row>
    <row r="1338" spans="5:11" x14ac:dyDescent="0.2">
      <c r="K1338" s="93"/>
    </row>
    <row r="1339" spans="5:11" x14ac:dyDescent="0.2">
      <c r="K1339" s="93"/>
    </row>
    <row r="1340" spans="5:11" x14ac:dyDescent="0.2">
      <c r="E1340" s="93"/>
      <c r="K1340" s="93"/>
    </row>
    <row r="1341" spans="5:11" x14ac:dyDescent="0.2">
      <c r="E1341" s="93"/>
      <c r="K1341" s="93"/>
    </row>
    <row r="1342" spans="5:11" x14ac:dyDescent="0.2">
      <c r="E1342" s="93"/>
      <c r="K1342" s="93"/>
    </row>
    <row r="1343" spans="5:11" x14ac:dyDescent="0.2">
      <c r="K1343" s="93"/>
    </row>
    <row r="1344" spans="5:11" x14ac:dyDescent="0.2">
      <c r="K1344" s="93"/>
    </row>
    <row r="1345" spans="5:11" x14ac:dyDescent="0.2">
      <c r="K1345" s="93"/>
    </row>
    <row r="1346" spans="5:11" x14ac:dyDescent="0.2">
      <c r="E1346" s="93"/>
      <c r="K1346" s="93"/>
    </row>
    <row r="1347" spans="5:11" x14ac:dyDescent="0.2">
      <c r="E1347" s="93"/>
      <c r="K1347" s="93"/>
    </row>
    <row r="1348" spans="5:11" x14ac:dyDescent="0.2">
      <c r="K1348" s="93"/>
    </row>
    <row r="1349" spans="5:11" x14ac:dyDescent="0.2">
      <c r="E1349" s="93"/>
      <c r="K1349" s="93"/>
    </row>
    <row r="1350" spans="5:11" x14ac:dyDescent="0.2">
      <c r="K1350" s="93"/>
    </row>
    <row r="1351" spans="5:11" x14ac:dyDescent="0.2">
      <c r="K1351" s="93"/>
    </row>
    <row r="1352" spans="5:11" x14ac:dyDescent="0.2">
      <c r="E1352" s="93"/>
      <c r="K1352" s="93"/>
    </row>
    <row r="1353" spans="5:11" x14ac:dyDescent="0.2">
      <c r="K1353" s="93"/>
    </row>
    <row r="1354" spans="5:11" x14ac:dyDescent="0.2">
      <c r="E1354" s="93"/>
      <c r="K1354" s="93"/>
    </row>
    <row r="1355" spans="5:11" x14ac:dyDescent="0.2">
      <c r="E1355" s="93"/>
      <c r="K1355" s="93"/>
    </row>
    <row r="1356" spans="5:11" x14ac:dyDescent="0.2">
      <c r="K1356" s="93"/>
    </row>
    <row r="1357" spans="5:11" x14ac:dyDescent="0.2">
      <c r="E1357" s="93"/>
      <c r="K1357" s="93"/>
    </row>
    <row r="1358" spans="5:11" x14ac:dyDescent="0.2">
      <c r="E1358" s="93"/>
      <c r="K1358" s="93"/>
    </row>
    <row r="1359" spans="5:11" x14ac:dyDescent="0.2">
      <c r="E1359" s="93"/>
      <c r="K1359" s="93"/>
    </row>
    <row r="1360" spans="5:11" x14ac:dyDescent="0.2">
      <c r="E1360" s="93"/>
      <c r="K1360" s="93"/>
    </row>
    <row r="1361" spans="5:11" x14ac:dyDescent="0.2">
      <c r="K1361" s="93"/>
    </row>
    <row r="1362" spans="5:11" x14ac:dyDescent="0.2">
      <c r="K1362" s="93"/>
    </row>
    <row r="1363" spans="5:11" x14ac:dyDescent="0.2">
      <c r="E1363" s="93"/>
      <c r="K1363" s="93"/>
    </row>
    <row r="1364" spans="5:11" x14ac:dyDescent="0.2">
      <c r="K1364" s="93"/>
    </row>
    <row r="1365" spans="5:11" x14ac:dyDescent="0.2">
      <c r="K1365" s="93"/>
    </row>
    <row r="1366" spans="5:11" x14ac:dyDescent="0.2">
      <c r="E1366" s="93"/>
      <c r="K1366" s="93"/>
    </row>
    <row r="1367" spans="5:11" x14ac:dyDescent="0.2">
      <c r="E1367" s="93"/>
      <c r="K1367" s="93"/>
    </row>
    <row r="1368" spans="5:11" x14ac:dyDescent="0.2">
      <c r="E1368" s="93"/>
      <c r="K1368" s="93"/>
    </row>
    <row r="1369" spans="5:11" x14ac:dyDescent="0.2">
      <c r="E1369" s="93"/>
      <c r="K1369" s="93"/>
    </row>
    <row r="1370" spans="5:11" x14ac:dyDescent="0.2">
      <c r="K1370" s="93"/>
    </row>
    <row r="1371" spans="5:11" x14ac:dyDescent="0.2">
      <c r="E1371" s="93"/>
      <c r="K1371" s="93"/>
    </row>
    <row r="1372" spans="5:11" x14ac:dyDescent="0.2">
      <c r="E1372" s="93"/>
      <c r="K1372" s="93"/>
    </row>
    <row r="1373" spans="5:11" x14ac:dyDescent="0.2">
      <c r="E1373" s="93"/>
      <c r="K1373" s="93"/>
    </row>
    <row r="1374" spans="5:11" x14ac:dyDescent="0.2">
      <c r="E1374" s="93"/>
      <c r="K1374" s="93"/>
    </row>
    <row r="1375" spans="5:11" x14ac:dyDescent="0.2">
      <c r="K1375" s="93"/>
    </row>
    <row r="1376" spans="5:11" x14ac:dyDescent="0.2">
      <c r="E1376" s="93"/>
      <c r="K1376" s="93"/>
    </row>
    <row r="1377" spans="5:11" x14ac:dyDescent="0.2">
      <c r="K1377" s="93"/>
    </row>
    <row r="1378" spans="5:11" x14ac:dyDescent="0.2">
      <c r="E1378" s="93"/>
      <c r="K1378" s="93"/>
    </row>
    <row r="1379" spans="5:11" x14ac:dyDescent="0.2">
      <c r="E1379" s="93"/>
      <c r="K1379" s="93"/>
    </row>
    <row r="1380" spans="5:11" x14ac:dyDescent="0.2">
      <c r="E1380" s="93"/>
      <c r="K1380" s="93"/>
    </row>
    <row r="1381" spans="5:11" x14ac:dyDescent="0.2">
      <c r="E1381" s="93"/>
      <c r="K1381" s="93"/>
    </row>
    <row r="1382" spans="5:11" x14ac:dyDescent="0.2">
      <c r="E1382" s="93"/>
      <c r="K1382" s="93"/>
    </row>
    <row r="1383" spans="5:11" x14ac:dyDescent="0.2">
      <c r="E1383" s="93"/>
      <c r="K1383" s="93"/>
    </row>
    <row r="1384" spans="5:11" x14ac:dyDescent="0.2">
      <c r="E1384" s="93"/>
      <c r="K1384" s="93"/>
    </row>
    <row r="1385" spans="5:11" x14ac:dyDescent="0.2">
      <c r="E1385" s="93"/>
      <c r="K1385" s="93"/>
    </row>
    <row r="1386" spans="5:11" x14ac:dyDescent="0.2">
      <c r="K1386" s="93"/>
    </row>
    <row r="1387" spans="5:11" x14ac:dyDescent="0.2">
      <c r="E1387" s="93"/>
      <c r="K1387" s="93"/>
    </row>
    <row r="1388" spans="5:11" x14ac:dyDescent="0.2">
      <c r="E1388" s="93"/>
      <c r="K1388" s="93"/>
    </row>
    <row r="1389" spans="5:11" x14ac:dyDescent="0.2">
      <c r="E1389" s="93"/>
      <c r="K1389" s="93"/>
    </row>
    <row r="1390" spans="5:11" x14ac:dyDescent="0.2">
      <c r="K1390" s="93"/>
    </row>
    <row r="1391" spans="5:11" x14ac:dyDescent="0.2">
      <c r="E1391" s="93"/>
      <c r="K1391" s="93"/>
    </row>
    <row r="1392" spans="5:11" x14ac:dyDescent="0.2">
      <c r="K1392" s="93"/>
    </row>
    <row r="1393" spans="5:11" x14ac:dyDescent="0.2">
      <c r="E1393" s="93"/>
      <c r="K1393" s="93"/>
    </row>
    <row r="1394" spans="5:11" x14ac:dyDescent="0.2">
      <c r="E1394" s="93"/>
      <c r="K1394" s="93"/>
    </row>
    <row r="1395" spans="5:11" x14ac:dyDescent="0.2">
      <c r="E1395" s="93"/>
      <c r="K1395" s="93"/>
    </row>
    <row r="1396" spans="5:11" x14ac:dyDescent="0.2">
      <c r="K1396" s="93"/>
    </row>
    <row r="1397" spans="5:11" x14ac:dyDescent="0.2">
      <c r="E1397" s="93"/>
      <c r="K1397" s="93"/>
    </row>
    <row r="1398" spans="5:11" x14ac:dyDescent="0.2">
      <c r="E1398" s="93"/>
      <c r="K1398" s="93"/>
    </row>
    <row r="1399" spans="5:11" x14ac:dyDescent="0.2">
      <c r="E1399" s="93"/>
      <c r="K1399" s="93"/>
    </row>
    <row r="1400" spans="5:11" x14ac:dyDescent="0.2">
      <c r="K1400" s="93"/>
    </row>
    <row r="1401" spans="5:11" x14ac:dyDescent="0.2">
      <c r="E1401" s="93"/>
      <c r="K1401" s="93"/>
    </row>
    <row r="1402" spans="5:11" x14ac:dyDescent="0.2">
      <c r="K1402" s="93"/>
    </row>
    <row r="1403" spans="5:11" x14ac:dyDescent="0.2">
      <c r="K1403" s="93"/>
    </row>
    <row r="1404" spans="5:11" x14ac:dyDescent="0.2">
      <c r="K1404" s="93"/>
    </row>
    <row r="1405" spans="5:11" x14ac:dyDescent="0.2">
      <c r="E1405" s="93"/>
      <c r="K1405" s="93"/>
    </row>
    <row r="1406" spans="5:11" x14ac:dyDescent="0.2">
      <c r="E1406" s="93"/>
      <c r="K1406" s="93"/>
    </row>
    <row r="1407" spans="5:11" x14ac:dyDescent="0.2">
      <c r="E1407" s="93"/>
      <c r="K1407" s="93"/>
    </row>
    <row r="1408" spans="5:11" x14ac:dyDescent="0.2">
      <c r="K1408" s="93"/>
    </row>
    <row r="1409" spans="5:11" x14ac:dyDescent="0.2">
      <c r="E1409" s="93"/>
      <c r="K1409" s="93"/>
    </row>
    <row r="1410" spans="5:11" x14ac:dyDescent="0.2">
      <c r="E1410" s="93"/>
      <c r="K1410" s="93"/>
    </row>
    <row r="1411" spans="5:11" x14ac:dyDescent="0.2">
      <c r="E1411" s="93"/>
      <c r="K1411" s="93"/>
    </row>
    <row r="1412" spans="5:11" x14ac:dyDescent="0.2">
      <c r="E1412" s="93"/>
      <c r="K1412" s="93"/>
    </row>
    <row r="1413" spans="5:11" x14ac:dyDescent="0.2">
      <c r="K1413" s="93"/>
    </row>
    <row r="1414" spans="5:11" x14ac:dyDescent="0.2">
      <c r="E1414" s="93"/>
      <c r="K1414" s="93"/>
    </row>
    <row r="1415" spans="5:11" x14ac:dyDescent="0.2">
      <c r="E1415" s="93"/>
      <c r="K1415" s="93"/>
    </row>
    <row r="1416" spans="5:11" x14ac:dyDescent="0.2">
      <c r="E1416" s="93"/>
      <c r="K1416" s="93"/>
    </row>
    <row r="1417" spans="5:11" x14ac:dyDescent="0.2">
      <c r="K1417" s="93"/>
    </row>
    <row r="1418" spans="5:11" x14ac:dyDescent="0.2">
      <c r="E1418" s="93"/>
      <c r="K1418" s="93"/>
    </row>
    <row r="1419" spans="5:11" x14ac:dyDescent="0.2">
      <c r="E1419" s="93"/>
      <c r="K1419" s="93"/>
    </row>
    <row r="1420" spans="5:11" x14ac:dyDescent="0.2">
      <c r="E1420" s="93"/>
      <c r="K1420" s="93"/>
    </row>
    <row r="1421" spans="5:11" x14ac:dyDescent="0.2">
      <c r="E1421" s="93"/>
      <c r="K1421" s="93"/>
    </row>
    <row r="1422" spans="5:11" x14ac:dyDescent="0.2">
      <c r="E1422" s="93"/>
      <c r="K1422" s="93"/>
    </row>
    <row r="1423" spans="5:11" x14ac:dyDescent="0.2">
      <c r="E1423" s="93"/>
      <c r="K1423" s="93"/>
    </row>
    <row r="1424" spans="5:11" x14ac:dyDescent="0.2">
      <c r="E1424" s="93"/>
      <c r="K1424" s="93"/>
    </row>
    <row r="1425" spans="5:11" x14ac:dyDescent="0.2">
      <c r="E1425" s="93"/>
      <c r="K1425" s="93"/>
    </row>
    <row r="1426" spans="5:11" x14ac:dyDescent="0.2">
      <c r="E1426" s="93"/>
      <c r="K1426" s="93"/>
    </row>
    <row r="1427" spans="5:11" x14ac:dyDescent="0.2">
      <c r="E1427" s="93"/>
      <c r="K1427" s="93"/>
    </row>
    <row r="1428" spans="5:11" x14ac:dyDescent="0.2">
      <c r="E1428" s="93"/>
      <c r="K1428" s="93"/>
    </row>
    <row r="1429" spans="5:11" x14ac:dyDescent="0.2">
      <c r="E1429" s="93"/>
      <c r="K1429" s="93"/>
    </row>
    <row r="1430" spans="5:11" x14ac:dyDescent="0.2">
      <c r="K1430" s="93"/>
    </row>
    <row r="1431" spans="5:11" x14ac:dyDescent="0.2">
      <c r="K1431" s="93"/>
    </row>
    <row r="1432" spans="5:11" x14ac:dyDescent="0.2">
      <c r="E1432" s="93"/>
      <c r="K1432" s="93"/>
    </row>
    <row r="1433" spans="5:11" x14ac:dyDescent="0.2">
      <c r="E1433" s="93"/>
      <c r="K1433" s="93"/>
    </row>
    <row r="1434" spans="5:11" x14ac:dyDescent="0.2">
      <c r="E1434" s="93"/>
      <c r="K1434" s="93"/>
    </row>
    <row r="1435" spans="5:11" x14ac:dyDescent="0.2">
      <c r="E1435" s="93"/>
      <c r="K1435" s="93"/>
    </row>
    <row r="1436" spans="5:11" x14ac:dyDescent="0.2">
      <c r="E1436" s="93"/>
      <c r="K1436" s="93"/>
    </row>
    <row r="1437" spans="5:11" x14ac:dyDescent="0.2">
      <c r="E1437" s="93"/>
      <c r="K1437" s="93"/>
    </row>
    <row r="1438" spans="5:11" x14ac:dyDescent="0.2">
      <c r="E1438" s="93"/>
      <c r="K1438" s="93"/>
    </row>
    <row r="1439" spans="5:11" x14ac:dyDescent="0.2">
      <c r="K1439" s="93"/>
    </row>
    <row r="1440" spans="5:11" x14ac:dyDescent="0.2">
      <c r="K1440" s="93"/>
    </row>
    <row r="1441" spans="5:11" x14ac:dyDescent="0.2">
      <c r="E1441" s="93"/>
      <c r="K1441" s="93"/>
    </row>
    <row r="1442" spans="5:11" x14ac:dyDescent="0.2">
      <c r="E1442" s="93"/>
      <c r="K1442" s="93"/>
    </row>
    <row r="1443" spans="5:11" x14ac:dyDescent="0.2">
      <c r="E1443" s="93"/>
      <c r="K1443" s="93"/>
    </row>
    <row r="1444" spans="5:11" x14ac:dyDescent="0.2">
      <c r="E1444" s="93"/>
      <c r="K1444" s="93"/>
    </row>
    <row r="1445" spans="5:11" x14ac:dyDescent="0.2">
      <c r="E1445" s="93"/>
      <c r="K1445" s="93"/>
    </row>
    <row r="1446" spans="5:11" x14ac:dyDescent="0.2">
      <c r="E1446" s="93"/>
      <c r="K1446" s="93"/>
    </row>
    <row r="1447" spans="5:11" x14ac:dyDescent="0.2">
      <c r="K1447" s="93"/>
    </row>
    <row r="1448" spans="5:11" x14ac:dyDescent="0.2">
      <c r="E1448" s="93"/>
      <c r="K1448" s="93"/>
    </row>
    <row r="1449" spans="5:11" x14ac:dyDescent="0.2">
      <c r="K1449" s="93"/>
    </row>
    <row r="1450" spans="5:11" x14ac:dyDescent="0.2">
      <c r="E1450" s="93"/>
      <c r="K1450" s="93"/>
    </row>
    <row r="1451" spans="5:11" x14ac:dyDescent="0.2">
      <c r="E1451" s="93"/>
      <c r="K1451" s="93"/>
    </row>
    <row r="1452" spans="5:11" x14ac:dyDescent="0.2">
      <c r="E1452" s="93"/>
      <c r="K1452" s="93"/>
    </row>
    <row r="1453" spans="5:11" x14ac:dyDescent="0.2">
      <c r="E1453" s="93"/>
      <c r="K1453" s="93"/>
    </row>
    <row r="1454" spans="5:11" x14ac:dyDescent="0.2">
      <c r="E1454" s="93"/>
      <c r="K1454" s="93"/>
    </row>
    <row r="1455" spans="5:11" x14ac:dyDescent="0.2">
      <c r="E1455" s="93"/>
      <c r="K1455" s="93"/>
    </row>
    <row r="1456" spans="5:11" x14ac:dyDescent="0.2">
      <c r="K1456" s="93"/>
    </row>
    <row r="1457" spans="5:11" x14ac:dyDescent="0.2">
      <c r="E1457" s="93"/>
      <c r="K1457" s="93"/>
    </row>
    <row r="1458" spans="5:11" x14ac:dyDescent="0.2">
      <c r="E1458" s="93"/>
      <c r="K1458" s="93"/>
    </row>
    <row r="1459" spans="5:11" x14ac:dyDescent="0.2">
      <c r="E1459" s="93"/>
      <c r="K1459" s="93"/>
    </row>
    <row r="1460" spans="5:11" x14ac:dyDescent="0.2">
      <c r="E1460" s="93"/>
      <c r="K1460" s="93"/>
    </row>
    <row r="1461" spans="5:11" x14ac:dyDescent="0.2">
      <c r="E1461" s="93"/>
      <c r="K1461" s="93"/>
    </row>
    <row r="1462" spans="5:11" x14ac:dyDescent="0.2">
      <c r="E1462" s="93"/>
      <c r="K1462" s="93"/>
    </row>
    <row r="1463" spans="5:11" x14ac:dyDescent="0.2">
      <c r="E1463" s="93"/>
      <c r="K1463" s="93"/>
    </row>
    <row r="1464" spans="5:11" x14ac:dyDescent="0.2">
      <c r="K1464" s="93"/>
    </row>
    <row r="1465" spans="5:11" x14ac:dyDescent="0.2">
      <c r="K1465" s="93"/>
    </row>
    <row r="1466" spans="5:11" x14ac:dyDescent="0.2">
      <c r="E1466" s="93"/>
      <c r="K1466" s="93"/>
    </row>
    <row r="1467" spans="5:11" x14ac:dyDescent="0.2">
      <c r="E1467" s="93"/>
      <c r="K1467" s="93"/>
    </row>
    <row r="1468" spans="5:11" x14ac:dyDescent="0.2">
      <c r="K1468" s="93"/>
    </row>
    <row r="1469" spans="5:11" x14ac:dyDescent="0.2">
      <c r="E1469" s="93"/>
      <c r="K1469" s="93"/>
    </row>
    <row r="1470" spans="5:11" x14ac:dyDescent="0.2">
      <c r="K1470" s="93"/>
    </row>
    <row r="1471" spans="5:11" x14ac:dyDescent="0.2">
      <c r="E1471" s="93"/>
      <c r="K1471" s="93"/>
    </row>
    <row r="1472" spans="5:11" x14ac:dyDescent="0.2">
      <c r="E1472" s="93"/>
      <c r="K1472" s="93"/>
    </row>
    <row r="1473" spans="5:11" x14ac:dyDescent="0.2">
      <c r="E1473" s="93"/>
      <c r="K1473" s="93"/>
    </row>
    <row r="1474" spans="5:11" x14ac:dyDescent="0.2">
      <c r="E1474" s="93"/>
      <c r="K1474" s="93"/>
    </row>
    <row r="1475" spans="5:11" x14ac:dyDescent="0.2">
      <c r="E1475" s="93"/>
      <c r="K1475" s="93"/>
    </row>
    <row r="1476" spans="5:11" x14ac:dyDescent="0.2">
      <c r="E1476" s="93"/>
      <c r="K1476" s="93"/>
    </row>
    <row r="1477" spans="5:11" x14ac:dyDescent="0.2">
      <c r="E1477" s="93"/>
      <c r="K1477" s="93"/>
    </row>
    <row r="1478" spans="5:11" x14ac:dyDescent="0.2">
      <c r="E1478" s="93"/>
      <c r="K1478" s="93"/>
    </row>
    <row r="1479" spans="5:11" x14ac:dyDescent="0.2">
      <c r="E1479" s="93"/>
      <c r="K1479" s="93"/>
    </row>
    <row r="1480" spans="5:11" x14ac:dyDescent="0.2">
      <c r="E1480" s="93"/>
      <c r="K1480" s="93"/>
    </row>
    <row r="1481" spans="5:11" x14ac:dyDescent="0.2">
      <c r="E1481" s="93"/>
      <c r="K1481" s="93"/>
    </row>
    <row r="1482" spans="5:11" x14ac:dyDescent="0.2">
      <c r="E1482" s="93"/>
      <c r="K1482" s="93"/>
    </row>
    <row r="1483" spans="5:11" x14ac:dyDescent="0.2">
      <c r="E1483" s="93"/>
      <c r="K1483" s="93"/>
    </row>
    <row r="1484" spans="5:11" x14ac:dyDescent="0.2">
      <c r="E1484" s="93"/>
      <c r="K1484" s="93"/>
    </row>
    <row r="1485" spans="5:11" x14ac:dyDescent="0.2">
      <c r="E1485" s="93"/>
      <c r="K1485" s="93"/>
    </row>
    <row r="1486" spans="5:11" x14ac:dyDescent="0.2">
      <c r="K1486" s="93"/>
    </row>
    <row r="1487" spans="5:11" x14ac:dyDescent="0.2">
      <c r="E1487" s="93"/>
      <c r="K1487" s="93"/>
    </row>
    <row r="1488" spans="5:11" x14ac:dyDescent="0.2">
      <c r="E1488" s="93"/>
      <c r="K1488" s="93"/>
    </row>
    <row r="1489" spans="5:11" x14ac:dyDescent="0.2">
      <c r="K1489" s="93"/>
    </row>
    <row r="1490" spans="5:11" x14ac:dyDescent="0.2">
      <c r="K1490" s="93"/>
    </row>
    <row r="1491" spans="5:11" x14ac:dyDescent="0.2">
      <c r="E1491" s="93"/>
      <c r="K1491" s="93"/>
    </row>
    <row r="1492" spans="5:11" x14ac:dyDescent="0.2">
      <c r="K1492" s="93"/>
    </row>
    <row r="1493" spans="5:11" x14ac:dyDescent="0.2">
      <c r="K1493" s="93"/>
    </row>
    <row r="1494" spans="5:11" x14ac:dyDescent="0.2">
      <c r="E1494" s="93"/>
      <c r="K1494" s="93"/>
    </row>
    <row r="1495" spans="5:11" x14ac:dyDescent="0.2">
      <c r="E1495" s="93"/>
      <c r="K1495" s="93"/>
    </row>
    <row r="1496" spans="5:11" x14ac:dyDescent="0.2">
      <c r="E1496" s="93"/>
      <c r="K1496" s="93"/>
    </row>
    <row r="1497" spans="5:11" x14ac:dyDescent="0.2">
      <c r="E1497" s="93"/>
      <c r="K1497" s="93"/>
    </row>
    <row r="1498" spans="5:11" x14ac:dyDescent="0.2">
      <c r="E1498" s="93"/>
      <c r="K1498" s="93"/>
    </row>
    <row r="1499" spans="5:11" x14ac:dyDescent="0.2">
      <c r="E1499" s="93"/>
      <c r="K1499" s="93"/>
    </row>
    <row r="1500" spans="5:11" x14ac:dyDescent="0.2">
      <c r="K1500" s="93"/>
    </row>
    <row r="1501" spans="5:11" x14ac:dyDescent="0.2">
      <c r="E1501" s="93"/>
      <c r="K1501" s="93"/>
    </row>
    <row r="1502" spans="5:11" x14ac:dyDescent="0.2">
      <c r="K1502" s="93"/>
    </row>
    <row r="1503" spans="5:11" x14ac:dyDescent="0.2">
      <c r="E1503" s="93"/>
      <c r="K1503" s="93"/>
    </row>
    <row r="1504" spans="5:11" x14ac:dyDescent="0.2">
      <c r="E1504" s="93"/>
      <c r="K1504" s="93"/>
    </row>
    <row r="1505" spans="5:11" x14ac:dyDescent="0.2">
      <c r="E1505" s="93"/>
      <c r="K1505" s="93"/>
    </row>
    <row r="1506" spans="5:11" x14ac:dyDescent="0.2">
      <c r="E1506" s="93"/>
      <c r="K1506" s="93"/>
    </row>
    <row r="1507" spans="5:11" x14ac:dyDescent="0.2">
      <c r="K1507" s="93"/>
    </row>
    <row r="1508" spans="5:11" x14ac:dyDescent="0.2">
      <c r="E1508" s="93"/>
      <c r="K1508" s="93"/>
    </row>
    <row r="1509" spans="5:11" x14ac:dyDescent="0.2">
      <c r="K1509" s="93"/>
    </row>
    <row r="1510" spans="5:11" x14ac:dyDescent="0.2">
      <c r="E1510" s="93"/>
      <c r="K1510" s="93"/>
    </row>
    <row r="1511" spans="5:11" x14ac:dyDescent="0.2">
      <c r="E1511" s="93"/>
      <c r="K1511" s="93"/>
    </row>
    <row r="1512" spans="5:11" x14ac:dyDescent="0.2">
      <c r="K1512" s="93"/>
    </row>
    <row r="1513" spans="5:11" x14ac:dyDescent="0.2">
      <c r="K1513" s="93"/>
    </row>
    <row r="1514" spans="5:11" x14ac:dyDescent="0.2">
      <c r="K1514" s="93"/>
    </row>
    <row r="1515" spans="5:11" x14ac:dyDescent="0.2">
      <c r="E1515" s="93"/>
      <c r="K1515" s="93"/>
    </row>
    <row r="1516" spans="5:11" x14ac:dyDescent="0.2">
      <c r="E1516" s="93"/>
      <c r="K1516" s="93"/>
    </row>
    <row r="1517" spans="5:11" x14ac:dyDescent="0.2">
      <c r="E1517" s="93"/>
      <c r="K1517" s="93"/>
    </row>
    <row r="1518" spans="5:11" x14ac:dyDescent="0.2">
      <c r="E1518" s="93"/>
      <c r="K1518" s="93"/>
    </row>
    <row r="1519" spans="5:11" x14ac:dyDescent="0.2">
      <c r="E1519" s="93"/>
      <c r="K1519" s="93"/>
    </row>
    <row r="1520" spans="5:11" x14ac:dyDescent="0.2">
      <c r="E1520" s="93"/>
      <c r="K1520" s="93"/>
    </row>
    <row r="1521" spans="5:11" x14ac:dyDescent="0.2">
      <c r="E1521" s="93"/>
      <c r="K1521" s="93"/>
    </row>
    <row r="1522" spans="5:11" x14ac:dyDescent="0.2">
      <c r="E1522" s="93"/>
      <c r="K1522" s="93"/>
    </row>
    <row r="1523" spans="5:11" x14ac:dyDescent="0.2">
      <c r="K1523" s="93"/>
    </row>
    <row r="1524" spans="5:11" x14ac:dyDescent="0.2">
      <c r="E1524" s="93"/>
      <c r="K1524" s="93"/>
    </row>
    <row r="1525" spans="5:11" x14ac:dyDescent="0.2">
      <c r="E1525" s="93"/>
      <c r="K1525" s="93"/>
    </row>
    <row r="1526" spans="5:11" x14ac:dyDescent="0.2">
      <c r="K1526" s="93"/>
    </row>
    <row r="1527" spans="5:11" x14ac:dyDescent="0.2">
      <c r="E1527" s="93"/>
      <c r="K1527" s="93"/>
    </row>
    <row r="1528" spans="5:11" x14ac:dyDescent="0.2">
      <c r="E1528" s="93"/>
      <c r="K1528" s="93"/>
    </row>
    <row r="1529" spans="5:11" x14ac:dyDescent="0.2">
      <c r="E1529" s="93"/>
      <c r="K1529" s="93"/>
    </row>
    <row r="1530" spans="5:11" x14ac:dyDescent="0.2">
      <c r="E1530" s="93"/>
      <c r="K1530" s="93"/>
    </row>
    <row r="1531" spans="5:11" x14ac:dyDescent="0.2">
      <c r="E1531" s="93"/>
      <c r="K1531" s="93"/>
    </row>
    <row r="1532" spans="5:11" x14ac:dyDescent="0.2">
      <c r="E1532" s="93"/>
      <c r="K1532" s="93"/>
    </row>
    <row r="1533" spans="5:11" x14ac:dyDescent="0.2">
      <c r="E1533" s="93"/>
      <c r="K1533" s="93"/>
    </row>
    <row r="1534" spans="5:11" x14ac:dyDescent="0.2">
      <c r="E1534" s="93"/>
      <c r="K1534" s="93"/>
    </row>
    <row r="1535" spans="5:11" x14ac:dyDescent="0.2">
      <c r="K1535" s="93"/>
    </row>
    <row r="1536" spans="5:11" x14ac:dyDescent="0.2">
      <c r="K1536" s="93"/>
    </row>
    <row r="1537" spans="5:11" x14ac:dyDescent="0.2">
      <c r="K1537" s="93"/>
    </row>
    <row r="1538" spans="5:11" x14ac:dyDescent="0.2">
      <c r="K1538" s="93"/>
    </row>
    <row r="1539" spans="5:11" x14ac:dyDescent="0.2">
      <c r="E1539" s="93"/>
      <c r="K1539" s="93"/>
    </row>
    <row r="1540" spans="5:11" x14ac:dyDescent="0.2">
      <c r="E1540" s="93"/>
      <c r="K1540" s="93"/>
    </row>
    <row r="1541" spans="5:11" x14ac:dyDescent="0.2">
      <c r="E1541" s="93"/>
      <c r="K1541" s="93"/>
    </row>
    <row r="1542" spans="5:11" x14ac:dyDescent="0.2">
      <c r="E1542" s="93"/>
      <c r="K1542" s="93"/>
    </row>
    <row r="1543" spans="5:11" x14ac:dyDescent="0.2">
      <c r="E1543" s="93"/>
      <c r="K1543" s="93"/>
    </row>
    <row r="1544" spans="5:11" x14ac:dyDescent="0.2">
      <c r="K1544" s="93"/>
    </row>
    <row r="1545" spans="5:11" x14ac:dyDescent="0.2">
      <c r="K1545" s="93"/>
    </row>
    <row r="1546" spans="5:11" x14ac:dyDescent="0.2">
      <c r="E1546" s="93"/>
      <c r="K1546" s="93"/>
    </row>
    <row r="1547" spans="5:11" x14ac:dyDescent="0.2">
      <c r="E1547" s="93"/>
      <c r="K1547" s="93"/>
    </row>
    <row r="1548" spans="5:11" x14ac:dyDescent="0.2">
      <c r="E1548" s="93"/>
      <c r="K1548" s="93"/>
    </row>
    <row r="1549" spans="5:11" x14ac:dyDescent="0.2">
      <c r="E1549" s="93"/>
      <c r="K1549" s="93"/>
    </row>
    <row r="1550" spans="5:11" x14ac:dyDescent="0.2">
      <c r="E1550" s="93"/>
      <c r="K1550" s="93"/>
    </row>
    <row r="1551" spans="5:11" x14ac:dyDescent="0.2">
      <c r="E1551" s="93"/>
      <c r="K1551" s="93"/>
    </row>
    <row r="1552" spans="5:11" x14ac:dyDescent="0.2">
      <c r="K1552" s="93"/>
    </row>
    <row r="1553" spans="5:11" x14ac:dyDescent="0.2">
      <c r="E1553" s="93"/>
      <c r="K1553" s="93"/>
    </row>
    <row r="1554" spans="5:11" x14ac:dyDescent="0.2">
      <c r="E1554" s="93"/>
      <c r="K1554" s="93"/>
    </row>
    <row r="1555" spans="5:11" x14ac:dyDescent="0.2">
      <c r="E1555" s="93"/>
      <c r="K1555" s="93"/>
    </row>
    <row r="1556" spans="5:11" x14ac:dyDescent="0.2">
      <c r="E1556" s="93"/>
      <c r="K1556" s="93"/>
    </row>
    <row r="1557" spans="5:11" x14ac:dyDescent="0.2">
      <c r="E1557" s="93"/>
      <c r="K1557" s="93"/>
    </row>
    <row r="1558" spans="5:11" x14ac:dyDescent="0.2">
      <c r="K1558" s="93"/>
    </row>
    <row r="1559" spans="5:11" x14ac:dyDescent="0.2">
      <c r="E1559" s="93"/>
      <c r="K1559" s="93"/>
    </row>
    <row r="1560" spans="5:11" x14ac:dyDescent="0.2">
      <c r="E1560" s="93"/>
      <c r="K1560" s="93"/>
    </row>
    <row r="1561" spans="5:11" x14ac:dyDescent="0.2">
      <c r="K1561" s="93"/>
    </row>
    <row r="1562" spans="5:11" x14ac:dyDescent="0.2">
      <c r="K1562" s="93"/>
    </row>
    <row r="1563" spans="5:11" x14ac:dyDescent="0.2">
      <c r="K1563" s="93"/>
    </row>
    <row r="1564" spans="5:11" x14ac:dyDescent="0.2">
      <c r="K1564" s="93"/>
    </row>
    <row r="1565" spans="5:11" x14ac:dyDescent="0.2">
      <c r="E1565" s="93"/>
      <c r="K1565" s="93"/>
    </row>
    <row r="1566" spans="5:11" x14ac:dyDescent="0.2">
      <c r="E1566" s="93"/>
      <c r="K1566" s="93"/>
    </row>
    <row r="1567" spans="5:11" x14ac:dyDescent="0.2">
      <c r="E1567" s="93"/>
      <c r="K1567" s="93"/>
    </row>
    <row r="1568" spans="5:11" x14ac:dyDescent="0.2">
      <c r="E1568" s="93"/>
      <c r="K1568" s="93"/>
    </row>
    <row r="1569" spans="5:11" x14ac:dyDescent="0.2">
      <c r="E1569" s="93"/>
      <c r="K1569" s="93"/>
    </row>
    <row r="1570" spans="5:11" x14ac:dyDescent="0.2">
      <c r="E1570" s="93"/>
      <c r="K1570" s="93"/>
    </row>
    <row r="1571" spans="5:11" x14ac:dyDescent="0.2">
      <c r="K1571" s="93"/>
    </row>
    <row r="1572" spans="5:11" x14ac:dyDescent="0.2">
      <c r="E1572" s="93"/>
      <c r="K1572" s="93"/>
    </row>
    <row r="1573" spans="5:11" x14ac:dyDescent="0.2">
      <c r="E1573" s="93"/>
      <c r="K1573" s="93"/>
    </row>
    <row r="1574" spans="5:11" x14ac:dyDescent="0.2">
      <c r="K1574" s="93"/>
    </row>
    <row r="1575" spans="5:11" x14ac:dyDescent="0.2">
      <c r="E1575" s="93"/>
      <c r="K1575" s="93"/>
    </row>
    <row r="1576" spans="5:11" x14ac:dyDescent="0.2">
      <c r="E1576" s="93"/>
      <c r="K1576" s="93"/>
    </row>
    <row r="1577" spans="5:11" x14ac:dyDescent="0.2">
      <c r="E1577" s="93"/>
      <c r="K1577" s="93"/>
    </row>
    <row r="1578" spans="5:11" x14ac:dyDescent="0.2">
      <c r="K1578" s="93"/>
    </row>
    <row r="1579" spans="5:11" x14ac:dyDescent="0.2">
      <c r="E1579" s="93"/>
      <c r="K1579" s="93"/>
    </row>
    <row r="1580" spans="5:11" x14ac:dyDescent="0.2">
      <c r="K1580" s="93"/>
    </row>
    <row r="1581" spans="5:11" x14ac:dyDescent="0.2">
      <c r="E1581" s="93"/>
      <c r="K1581" s="93"/>
    </row>
    <row r="1582" spans="5:11" x14ac:dyDescent="0.2">
      <c r="E1582" s="93"/>
      <c r="K1582" s="93"/>
    </row>
    <row r="1583" spans="5:11" x14ac:dyDescent="0.2">
      <c r="E1583" s="93"/>
      <c r="K1583" s="93"/>
    </row>
    <row r="1584" spans="5:11" x14ac:dyDescent="0.2">
      <c r="E1584" s="93"/>
      <c r="K1584" s="93"/>
    </row>
    <row r="1585" spans="5:11" x14ac:dyDescent="0.2">
      <c r="K1585" s="93"/>
    </row>
    <row r="1586" spans="5:11" x14ac:dyDescent="0.2">
      <c r="E1586" s="93"/>
      <c r="K1586" s="93"/>
    </row>
    <row r="1587" spans="5:11" x14ac:dyDescent="0.2">
      <c r="E1587" s="93"/>
      <c r="K1587" s="93"/>
    </row>
    <row r="1588" spans="5:11" x14ac:dyDescent="0.2">
      <c r="K1588" s="93"/>
    </row>
    <row r="1589" spans="5:11" x14ac:dyDescent="0.2">
      <c r="E1589" s="93"/>
      <c r="K1589" s="93"/>
    </row>
    <row r="1590" spans="5:11" x14ac:dyDescent="0.2">
      <c r="K1590" s="93"/>
    </row>
    <row r="1591" spans="5:11" x14ac:dyDescent="0.2">
      <c r="K1591" s="93"/>
    </row>
    <row r="1592" spans="5:11" x14ac:dyDescent="0.2">
      <c r="K1592" s="93"/>
    </row>
    <row r="1593" spans="5:11" x14ac:dyDescent="0.2">
      <c r="E1593" s="93"/>
      <c r="K1593" s="93"/>
    </row>
    <row r="1594" spans="5:11" x14ac:dyDescent="0.2">
      <c r="E1594" s="93"/>
      <c r="K1594" s="93"/>
    </row>
    <row r="1595" spans="5:11" x14ac:dyDescent="0.2">
      <c r="K1595" s="93"/>
    </row>
    <row r="1596" spans="5:11" x14ac:dyDescent="0.2">
      <c r="E1596" s="93"/>
      <c r="K1596" s="93"/>
    </row>
    <row r="1597" spans="5:11" x14ac:dyDescent="0.2">
      <c r="K1597" s="93"/>
    </row>
    <row r="1598" spans="5:11" x14ac:dyDescent="0.2">
      <c r="E1598" s="93"/>
      <c r="K1598" s="93"/>
    </row>
    <row r="1599" spans="5:11" x14ac:dyDescent="0.2">
      <c r="E1599" s="93"/>
      <c r="K1599" s="93"/>
    </row>
    <row r="1600" spans="5:11" x14ac:dyDescent="0.2">
      <c r="K1600" s="93"/>
    </row>
    <row r="1601" spans="5:11" x14ac:dyDescent="0.2">
      <c r="E1601" s="93"/>
      <c r="K1601" s="93"/>
    </row>
    <row r="1602" spans="5:11" x14ac:dyDescent="0.2">
      <c r="E1602" s="93"/>
      <c r="K1602" s="93"/>
    </row>
    <row r="1603" spans="5:11" x14ac:dyDescent="0.2">
      <c r="E1603" s="93"/>
      <c r="K1603" s="93"/>
    </row>
    <row r="1604" spans="5:11" x14ac:dyDescent="0.2">
      <c r="E1604" s="93"/>
      <c r="K1604" s="93"/>
    </row>
    <row r="1605" spans="5:11" x14ac:dyDescent="0.2">
      <c r="E1605" s="93"/>
      <c r="K1605" s="93"/>
    </row>
    <row r="1606" spans="5:11" x14ac:dyDescent="0.2">
      <c r="E1606" s="93"/>
      <c r="K1606" s="93"/>
    </row>
    <row r="1607" spans="5:11" x14ac:dyDescent="0.2">
      <c r="E1607" s="93"/>
      <c r="K1607" s="93"/>
    </row>
    <row r="1608" spans="5:11" x14ac:dyDescent="0.2">
      <c r="E1608" s="93"/>
      <c r="K1608" s="93"/>
    </row>
    <row r="1609" spans="5:11" x14ac:dyDescent="0.2">
      <c r="E1609" s="93"/>
      <c r="K1609" s="93"/>
    </row>
    <row r="1610" spans="5:11" x14ac:dyDescent="0.2">
      <c r="K1610" s="93"/>
    </row>
    <row r="1611" spans="5:11" x14ac:dyDescent="0.2">
      <c r="K1611" s="93"/>
    </row>
    <row r="1612" spans="5:11" x14ac:dyDescent="0.2">
      <c r="E1612" s="93"/>
      <c r="K1612" s="93"/>
    </row>
    <row r="1613" spans="5:11" x14ac:dyDescent="0.2">
      <c r="E1613" s="93"/>
      <c r="K1613" s="93"/>
    </row>
    <row r="1614" spans="5:11" x14ac:dyDescent="0.2">
      <c r="K1614" s="93"/>
    </row>
    <row r="1615" spans="5:11" x14ac:dyDescent="0.2">
      <c r="E1615" s="93"/>
      <c r="K1615" s="93"/>
    </row>
    <row r="1616" spans="5:11" x14ac:dyDescent="0.2">
      <c r="E1616" s="93"/>
      <c r="K1616" s="93"/>
    </row>
    <row r="1617" spans="5:11" x14ac:dyDescent="0.2">
      <c r="E1617" s="93"/>
      <c r="K1617" s="93"/>
    </row>
    <row r="1618" spans="5:11" x14ac:dyDescent="0.2">
      <c r="K1618" s="93"/>
    </row>
    <row r="1619" spans="5:11" x14ac:dyDescent="0.2">
      <c r="K1619" s="93"/>
    </row>
    <row r="1620" spans="5:11" x14ac:dyDescent="0.2">
      <c r="K1620" s="93"/>
    </row>
    <row r="1621" spans="5:11" x14ac:dyDescent="0.2">
      <c r="E1621" s="93"/>
      <c r="K1621" s="93"/>
    </row>
    <row r="1622" spans="5:11" x14ac:dyDescent="0.2">
      <c r="E1622" s="93"/>
      <c r="K1622" s="93"/>
    </row>
    <row r="1623" spans="5:11" x14ac:dyDescent="0.2">
      <c r="E1623" s="93"/>
      <c r="K1623" s="93"/>
    </row>
    <row r="1624" spans="5:11" x14ac:dyDescent="0.2">
      <c r="K1624" s="93"/>
    </row>
    <row r="1625" spans="5:11" x14ac:dyDescent="0.2">
      <c r="E1625" s="93"/>
      <c r="K1625" s="93"/>
    </row>
    <row r="1626" spans="5:11" x14ac:dyDescent="0.2">
      <c r="E1626" s="93"/>
      <c r="K1626" s="93"/>
    </row>
    <row r="1627" spans="5:11" x14ac:dyDescent="0.2">
      <c r="E1627" s="93"/>
      <c r="K1627" s="93"/>
    </row>
    <row r="1628" spans="5:11" x14ac:dyDescent="0.2">
      <c r="E1628" s="93"/>
      <c r="K1628" s="93"/>
    </row>
    <row r="1629" spans="5:11" x14ac:dyDescent="0.2">
      <c r="K1629" s="93"/>
    </row>
    <row r="1630" spans="5:11" x14ac:dyDescent="0.2">
      <c r="K1630" s="93"/>
    </row>
    <row r="1631" spans="5:11" x14ac:dyDescent="0.2">
      <c r="E1631" s="93"/>
      <c r="K1631" s="93"/>
    </row>
    <row r="1632" spans="5:11" x14ac:dyDescent="0.2">
      <c r="E1632" s="93"/>
      <c r="K1632" s="93"/>
    </row>
    <row r="1633" spans="5:11" x14ac:dyDescent="0.2">
      <c r="E1633" s="93"/>
      <c r="K1633" s="93"/>
    </row>
    <row r="1634" spans="5:11" x14ac:dyDescent="0.2">
      <c r="E1634" s="93"/>
      <c r="K1634" s="93"/>
    </row>
    <row r="1635" spans="5:11" x14ac:dyDescent="0.2">
      <c r="E1635" s="93"/>
      <c r="K1635" s="93"/>
    </row>
    <row r="1636" spans="5:11" x14ac:dyDescent="0.2">
      <c r="E1636" s="93"/>
      <c r="K1636" s="93"/>
    </row>
    <row r="1637" spans="5:11" x14ac:dyDescent="0.2">
      <c r="E1637" s="93"/>
      <c r="K1637" s="93"/>
    </row>
    <row r="1638" spans="5:11" x14ac:dyDescent="0.2">
      <c r="K1638" s="93"/>
    </row>
    <row r="1639" spans="5:11" x14ac:dyDescent="0.2">
      <c r="E1639" s="93"/>
      <c r="K1639" s="93"/>
    </row>
    <row r="1640" spans="5:11" x14ac:dyDescent="0.2">
      <c r="K1640" s="93"/>
    </row>
    <row r="1641" spans="5:11" x14ac:dyDescent="0.2">
      <c r="K1641" s="93"/>
    </row>
    <row r="1642" spans="5:11" x14ac:dyDescent="0.2">
      <c r="E1642" s="93"/>
      <c r="K1642" s="93"/>
    </row>
    <row r="1643" spans="5:11" x14ac:dyDescent="0.2">
      <c r="K1643" s="93"/>
    </row>
    <row r="1644" spans="5:11" x14ac:dyDescent="0.2">
      <c r="E1644" s="93"/>
      <c r="K1644" s="93"/>
    </row>
    <row r="1645" spans="5:11" x14ac:dyDescent="0.2">
      <c r="K1645" s="93"/>
    </row>
    <row r="1646" spans="5:11" x14ac:dyDescent="0.2">
      <c r="E1646" s="93"/>
      <c r="K1646" s="93"/>
    </row>
    <row r="1647" spans="5:11" x14ac:dyDescent="0.2">
      <c r="E1647" s="93"/>
      <c r="K1647" s="93"/>
    </row>
    <row r="1648" spans="5:11" x14ac:dyDescent="0.2">
      <c r="K1648" s="93"/>
    </row>
    <row r="1649" spans="5:11" x14ac:dyDescent="0.2">
      <c r="E1649" s="93"/>
      <c r="K1649" s="93"/>
    </row>
    <row r="1650" spans="5:11" x14ac:dyDescent="0.2">
      <c r="E1650" s="93"/>
      <c r="K1650" s="93"/>
    </row>
    <row r="1651" spans="5:11" x14ac:dyDescent="0.2">
      <c r="E1651" s="93"/>
      <c r="K1651" s="93"/>
    </row>
    <row r="1652" spans="5:11" x14ac:dyDescent="0.2">
      <c r="K1652" s="93"/>
    </row>
    <row r="1653" spans="5:11" x14ac:dyDescent="0.2">
      <c r="K1653" s="93"/>
    </row>
    <row r="1654" spans="5:11" x14ac:dyDescent="0.2">
      <c r="E1654" s="93"/>
      <c r="K1654" s="93"/>
    </row>
    <row r="1655" spans="5:11" x14ac:dyDescent="0.2">
      <c r="E1655" s="93"/>
      <c r="K1655" s="93"/>
    </row>
    <row r="1656" spans="5:11" x14ac:dyDescent="0.2">
      <c r="E1656" s="93"/>
      <c r="K1656" s="93"/>
    </row>
    <row r="1657" spans="5:11" x14ac:dyDescent="0.2">
      <c r="K1657" s="93"/>
    </row>
    <row r="1658" spans="5:11" x14ac:dyDescent="0.2">
      <c r="K1658" s="93"/>
    </row>
    <row r="1659" spans="5:11" x14ac:dyDescent="0.2">
      <c r="E1659" s="93"/>
      <c r="K1659" s="93"/>
    </row>
    <row r="1660" spans="5:11" x14ac:dyDescent="0.2">
      <c r="K1660" s="93"/>
    </row>
    <row r="1661" spans="5:11" x14ac:dyDescent="0.2">
      <c r="E1661" s="93"/>
      <c r="K1661" s="93"/>
    </row>
    <row r="1662" spans="5:11" x14ac:dyDescent="0.2">
      <c r="K1662" s="93"/>
    </row>
    <row r="1663" spans="5:11" x14ac:dyDescent="0.2">
      <c r="K1663" s="93"/>
    </row>
    <row r="1664" spans="5:11" x14ac:dyDescent="0.2">
      <c r="E1664" s="93"/>
      <c r="K1664" s="93"/>
    </row>
    <row r="1665" spans="5:11" x14ac:dyDescent="0.2">
      <c r="E1665" s="93"/>
      <c r="K1665" s="93"/>
    </row>
    <row r="1666" spans="5:11" x14ac:dyDescent="0.2">
      <c r="E1666" s="93"/>
      <c r="K1666" s="93"/>
    </row>
    <row r="1667" spans="5:11" x14ac:dyDescent="0.2">
      <c r="E1667" s="93"/>
      <c r="K1667" s="93"/>
    </row>
    <row r="1668" spans="5:11" x14ac:dyDescent="0.2">
      <c r="E1668" s="93"/>
      <c r="K1668" s="93"/>
    </row>
    <row r="1669" spans="5:11" x14ac:dyDescent="0.2">
      <c r="K1669" s="93"/>
    </row>
    <row r="1670" spans="5:11" x14ac:dyDescent="0.2">
      <c r="E1670" s="93"/>
      <c r="K1670" s="93"/>
    </row>
    <row r="1671" spans="5:11" x14ac:dyDescent="0.2">
      <c r="K1671" s="93"/>
    </row>
    <row r="1672" spans="5:11" x14ac:dyDescent="0.2">
      <c r="K1672" s="93"/>
    </row>
    <row r="1673" spans="5:11" x14ac:dyDescent="0.2">
      <c r="K1673" s="93"/>
    </row>
    <row r="1674" spans="5:11" x14ac:dyDescent="0.2">
      <c r="E1674" s="93"/>
      <c r="K1674" s="93"/>
    </row>
    <row r="1675" spans="5:11" x14ac:dyDescent="0.2">
      <c r="E1675" s="93"/>
      <c r="K1675" s="93"/>
    </row>
    <row r="1676" spans="5:11" x14ac:dyDescent="0.2">
      <c r="K1676" s="93"/>
    </row>
    <row r="1677" spans="5:11" x14ac:dyDescent="0.2">
      <c r="E1677" s="93"/>
      <c r="K1677" s="93"/>
    </row>
    <row r="1678" spans="5:11" x14ac:dyDescent="0.2">
      <c r="E1678" s="93"/>
      <c r="K1678" s="93"/>
    </row>
    <row r="1679" spans="5:11" x14ac:dyDescent="0.2">
      <c r="E1679" s="93"/>
      <c r="K1679" s="93"/>
    </row>
    <row r="1680" spans="5:11" x14ac:dyDescent="0.2">
      <c r="E1680" s="93"/>
      <c r="K1680" s="93"/>
    </row>
    <row r="1681" spans="5:11" x14ac:dyDescent="0.2">
      <c r="E1681" s="93"/>
      <c r="K1681" s="93"/>
    </row>
    <row r="1682" spans="5:11" x14ac:dyDescent="0.2">
      <c r="E1682" s="93"/>
      <c r="K1682" s="93"/>
    </row>
    <row r="1683" spans="5:11" x14ac:dyDescent="0.2">
      <c r="K1683" s="93"/>
    </row>
    <row r="1684" spans="5:11" x14ac:dyDescent="0.2">
      <c r="E1684" s="93"/>
      <c r="K1684" s="93"/>
    </row>
    <row r="1685" spans="5:11" x14ac:dyDescent="0.2">
      <c r="K1685" s="93"/>
    </row>
    <row r="1686" spans="5:11" x14ac:dyDescent="0.2">
      <c r="K1686" s="93"/>
    </row>
    <row r="1687" spans="5:11" x14ac:dyDescent="0.2">
      <c r="E1687" s="93"/>
      <c r="K1687" s="93"/>
    </row>
    <row r="1688" spans="5:11" x14ac:dyDescent="0.2">
      <c r="E1688" s="93"/>
      <c r="K1688" s="93"/>
    </row>
    <row r="1689" spans="5:11" x14ac:dyDescent="0.2">
      <c r="K1689" s="93"/>
    </row>
    <row r="1690" spans="5:11" x14ac:dyDescent="0.2">
      <c r="E1690" s="93"/>
      <c r="K1690" s="93"/>
    </row>
    <row r="1691" spans="5:11" x14ac:dyDescent="0.2">
      <c r="E1691" s="93"/>
      <c r="K1691" s="93"/>
    </row>
    <row r="1692" spans="5:11" x14ac:dyDescent="0.2">
      <c r="E1692" s="93"/>
      <c r="K1692" s="93"/>
    </row>
    <row r="1693" spans="5:11" x14ac:dyDescent="0.2">
      <c r="K1693" s="93"/>
    </row>
    <row r="1694" spans="5:11" x14ac:dyDescent="0.2">
      <c r="K1694" s="93"/>
    </row>
    <row r="1695" spans="5:11" x14ac:dyDescent="0.2">
      <c r="K1695" s="93"/>
    </row>
    <row r="1696" spans="5:11" x14ac:dyDescent="0.2">
      <c r="E1696" s="93"/>
      <c r="K1696" s="93"/>
    </row>
    <row r="1697" spans="5:11" x14ac:dyDescent="0.2">
      <c r="E1697" s="93"/>
      <c r="K1697" s="93"/>
    </row>
    <row r="1698" spans="5:11" x14ac:dyDescent="0.2">
      <c r="E1698" s="93"/>
      <c r="K1698" s="93"/>
    </row>
    <row r="1699" spans="5:11" x14ac:dyDescent="0.2">
      <c r="E1699" s="93"/>
      <c r="K1699" s="93"/>
    </row>
    <row r="1700" spans="5:11" x14ac:dyDescent="0.2">
      <c r="K1700" s="93"/>
    </row>
    <row r="1701" spans="5:11" x14ac:dyDescent="0.2">
      <c r="E1701" s="93"/>
      <c r="K1701" s="93"/>
    </row>
    <row r="1702" spans="5:11" x14ac:dyDescent="0.2">
      <c r="E1702" s="93"/>
      <c r="K1702" s="93"/>
    </row>
    <row r="1703" spans="5:11" x14ac:dyDescent="0.2">
      <c r="K1703" s="93"/>
    </row>
    <row r="1704" spans="5:11" x14ac:dyDescent="0.2">
      <c r="E1704" s="93"/>
      <c r="K1704" s="93"/>
    </row>
    <row r="1705" spans="5:11" x14ac:dyDescent="0.2">
      <c r="K1705" s="93"/>
    </row>
    <row r="1706" spans="5:11" x14ac:dyDescent="0.2">
      <c r="E1706" s="93"/>
      <c r="K1706" s="93"/>
    </row>
    <row r="1707" spans="5:11" x14ac:dyDescent="0.2">
      <c r="E1707" s="93"/>
      <c r="K1707" s="93"/>
    </row>
    <row r="1708" spans="5:11" x14ac:dyDescent="0.2">
      <c r="E1708" s="93"/>
      <c r="K1708" s="93"/>
    </row>
    <row r="1709" spans="5:11" x14ac:dyDescent="0.2">
      <c r="E1709" s="93"/>
      <c r="K1709" s="93"/>
    </row>
    <row r="1710" spans="5:11" x14ac:dyDescent="0.2">
      <c r="E1710" s="93"/>
      <c r="K1710" s="93"/>
    </row>
    <row r="1711" spans="5:11" x14ac:dyDescent="0.2">
      <c r="K1711" s="93"/>
    </row>
    <row r="1712" spans="5:11" x14ac:dyDescent="0.2">
      <c r="E1712" s="93"/>
      <c r="K1712" s="93"/>
    </row>
    <row r="1713" spans="5:11" x14ac:dyDescent="0.2">
      <c r="E1713" s="93"/>
      <c r="K1713" s="93"/>
    </row>
    <row r="1714" spans="5:11" x14ac:dyDescent="0.2">
      <c r="E1714" s="93"/>
      <c r="K1714" s="93"/>
    </row>
    <row r="1715" spans="5:11" x14ac:dyDescent="0.2">
      <c r="E1715" s="93"/>
      <c r="K1715" s="93"/>
    </row>
    <row r="1716" spans="5:11" x14ac:dyDescent="0.2">
      <c r="E1716" s="93"/>
      <c r="K1716" s="93"/>
    </row>
    <row r="1717" spans="5:11" x14ac:dyDescent="0.2">
      <c r="E1717" s="93"/>
      <c r="K1717" s="93"/>
    </row>
    <row r="1718" spans="5:11" x14ac:dyDescent="0.2">
      <c r="E1718" s="93"/>
      <c r="K1718" s="93"/>
    </row>
    <row r="1719" spans="5:11" x14ac:dyDescent="0.2">
      <c r="E1719" s="93"/>
      <c r="K1719" s="93"/>
    </row>
    <row r="1720" spans="5:11" x14ac:dyDescent="0.2">
      <c r="E1720" s="93"/>
      <c r="K1720" s="93"/>
    </row>
    <row r="1721" spans="5:11" x14ac:dyDescent="0.2">
      <c r="E1721" s="93"/>
      <c r="K1721" s="93"/>
    </row>
    <row r="1722" spans="5:11" x14ac:dyDescent="0.2">
      <c r="E1722" s="93"/>
      <c r="K1722" s="93"/>
    </row>
    <row r="1723" spans="5:11" x14ac:dyDescent="0.2">
      <c r="E1723" s="93"/>
      <c r="K1723" s="93"/>
    </row>
    <row r="1724" spans="5:11" x14ac:dyDescent="0.2">
      <c r="E1724" s="93"/>
      <c r="K1724" s="93"/>
    </row>
    <row r="1725" spans="5:11" x14ac:dyDescent="0.2">
      <c r="E1725" s="93"/>
      <c r="K1725" s="93"/>
    </row>
    <row r="1726" spans="5:11" x14ac:dyDescent="0.2">
      <c r="K1726" s="93"/>
    </row>
    <row r="1727" spans="5:11" x14ac:dyDescent="0.2">
      <c r="K1727" s="93"/>
    </row>
    <row r="1728" spans="5:11" x14ac:dyDescent="0.2">
      <c r="K1728" s="93"/>
    </row>
    <row r="1729" spans="5:11" x14ac:dyDescent="0.2">
      <c r="K1729" s="93"/>
    </row>
    <row r="1730" spans="5:11" x14ac:dyDescent="0.2">
      <c r="K1730" s="93"/>
    </row>
    <row r="1731" spans="5:11" x14ac:dyDescent="0.2">
      <c r="E1731" s="93"/>
      <c r="K1731" s="93"/>
    </row>
    <row r="1732" spans="5:11" x14ac:dyDescent="0.2">
      <c r="K1732" s="93"/>
    </row>
    <row r="1733" spans="5:11" x14ac:dyDescent="0.2">
      <c r="K1733" s="93"/>
    </row>
    <row r="1734" spans="5:11" x14ac:dyDescent="0.2">
      <c r="K1734" s="93"/>
    </row>
    <row r="1735" spans="5:11" x14ac:dyDescent="0.2">
      <c r="E1735" s="93"/>
      <c r="K1735" s="93"/>
    </row>
    <row r="1736" spans="5:11" x14ac:dyDescent="0.2">
      <c r="K1736" s="93"/>
    </row>
    <row r="1737" spans="5:11" x14ac:dyDescent="0.2">
      <c r="E1737" s="93"/>
      <c r="K1737" s="93"/>
    </row>
    <row r="1738" spans="5:11" x14ac:dyDescent="0.2">
      <c r="E1738" s="93"/>
      <c r="K1738" s="93"/>
    </row>
    <row r="1739" spans="5:11" x14ac:dyDescent="0.2">
      <c r="K1739" s="93"/>
    </row>
    <row r="1740" spans="5:11" x14ac:dyDescent="0.2">
      <c r="E1740" s="93"/>
      <c r="K1740" s="93"/>
    </row>
    <row r="1741" spans="5:11" x14ac:dyDescent="0.2">
      <c r="E1741" s="93"/>
      <c r="K1741" s="93"/>
    </row>
    <row r="1742" spans="5:11" x14ac:dyDescent="0.2">
      <c r="E1742" s="93"/>
      <c r="K1742" s="93"/>
    </row>
    <row r="1743" spans="5:11" x14ac:dyDescent="0.2">
      <c r="E1743" s="93"/>
      <c r="K1743" s="93"/>
    </row>
    <row r="1744" spans="5:11" x14ac:dyDescent="0.2">
      <c r="E1744" s="93"/>
      <c r="K1744" s="93"/>
    </row>
    <row r="1745" spans="5:11" x14ac:dyDescent="0.2">
      <c r="K1745" s="93"/>
    </row>
    <row r="1746" spans="5:11" x14ac:dyDescent="0.2">
      <c r="E1746" s="93"/>
      <c r="K1746" s="93"/>
    </row>
    <row r="1747" spans="5:11" x14ac:dyDescent="0.2">
      <c r="E1747" s="93"/>
      <c r="K1747" s="93"/>
    </row>
    <row r="1748" spans="5:11" x14ac:dyDescent="0.2">
      <c r="E1748" s="93"/>
      <c r="K1748" s="93"/>
    </row>
    <row r="1749" spans="5:11" x14ac:dyDescent="0.2">
      <c r="E1749" s="93"/>
      <c r="K1749" s="93"/>
    </row>
    <row r="1750" spans="5:11" x14ac:dyDescent="0.2">
      <c r="K1750" s="93"/>
    </row>
    <row r="1751" spans="5:11" x14ac:dyDescent="0.2">
      <c r="E1751" s="93"/>
      <c r="K1751" s="93"/>
    </row>
    <row r="1752" spans="5:11" x14ac:dyDescent="0.2">
      <c r="K1752" s="93"/>
    </row>
    <row r="1753" spans="5:11" x14ac:dyDescent="0.2">
      <c r="E1753" s="93"/>
      <c r="K1753" s="93"/>
    </row>
    <row r="1754" spans="5:11" x14ac:dyDescent="0.2">
      <c r="K1754" s="93"/>
    </row>
    <row r="1755" spans="5:11" x14ac:dyDescent="0.2">
      <c r="E1755" s="93"/>
      <c r="K1755" s="93"/>
    </row>
    <row r="1756" spans="5:11" x14ac:dyDescent="0.2">
      <c r="E1756" s="93"/>
      <c r="K1756" s="93"/>
    </row>
    <row r="1757" spans="5:11" x14ac:dyDescent="0.2">
      <c r="E1757" s="93"/>
      <c r="K1757" s="93"/>
    </row>
    <row r="1758" spans="5:11" x14ac:dyDescent="0.2">
      <c r="K1758" s="93"/>
    </row>
    <row r="1759" spans="5:11" x14ac:dyDescent="0.2">
      <c r="E1759" s="93"/>
      <c r="K1759" s="93"/>
    </row>
    <row r="1760" spans="5:11" x14ac:dyDescent="0.2">
      <c r="E1760" s="93"/>
      <c r="K1760" s="93"/>
    </row>
    <row r="1761" spans="5:11" x14ac:dyDescent="0.2">
      <c r="K1761" s="93"/>
    </row>
    <row r="1762" spans="5:11" x14ac:dyDescent="0.2">
      <c r="E1762" s="93"/>
      <c r="K1762" s="93"/>
    </row>
    <row r="1763" spans="5:11" x14ac:dyDescent="0.2">
      <c r="K1763" s="93"/>
    </row>
    <row r="1764" spans="5:11" x14ac:dyDescent="0.2">
      <c r="K1764" s="93"/>
    </row>
    <row r="1765" spans="5:11" x14ac:dyDescent="0.2">
      <c r="E1765" s="93"/>
      <c r="K1765" s="93"/>
    </row>
    <row r="1766" spans="5:11" x14ac:dyDescent="0.2">
      <c r="E1766" s="93"/>
      <c r="K1766" s="93"/>
    </row>
    <row r="1767" spans="5:11" x14ac:dyDescent="0.2">
      <c r="K1767" s="93"/>
    </row>
    <row r="1768" spans="5:11" x14ac:dyDescent="0.2">
      <c r="E1768" s="93"/>
      <c r="K1768" s="93"/>
    </row>
    <row r="1769" spans="5:11" x14ac:dyDescent="0.2">
      <c r="E1769" s="93"/>
      <c r="K1769" s="93"/>
    </row>
    <row r="1770" spans="5:11" x14ac:dyDescent="0.2">
      <c r="E1770" s="93"/>
      <c r="K1770" s="93"/>
    </row>
    <row r="1771" spans="5:11" x14ac:dyDescent="0.2">
      <c r="K1771" s="93"/>
    </row>
    <row r="1772" spans="5:11" x14ac:dyDescent="0.2">
      <c r="E1772" s="93"/>
      <c r="K1772" s="93"/>
    </row>
    <row r="1773" spans="5:11" x14ac:dyDescent="0.2">
      <c r="K1773" s="93"/>
    </row>
    <row r="1774" spans="5:11" x14ac:dyDescent="0.2">
      <c r="K1774" s="93"/>
    </row>
    <row r="1775" spans="5:11" x14ac:dyDescent="0.2">
      <c r="K1775" s="93"/>
    </row>
    <row r="1776" spans="5:11" x14ac:dyDescent="0.2">
      <c r="E1776" s="93"/>
      <c r="K1776" s="93"/>
    </row>
    <row r="1777" spans="5:11" x14ac:dyDescent="0.2">
      <c r="E1777" s="93"/>
      <c r="K1777" s="93"/>
    </row>
    <row r="1778" spans="5:11" x14ac:dyDescent="0.2">
      <c r="K1778" s="93"/>
    </row>
    <row r="1779" spans="5:11" x14ac:dyDescent="0.2">
      <c r="E1779" s="93"/>
      <c r="K1779" s="93"/>
    </row>
    <row r="1780" spans="5:11" x14ac:dyDescent="0.2">
      <c r="E1780" s="93"/>
      <c r="K1780" s="93"/>
    </row>
    <row r="1781" spans="5:11" x14ac:dyDescent="0.2">
      <c r="E1781" s="93"/>
      <c r="K1781" s="93"/>
    </row>
    <row r="1782" spans="5:11" x14ac:dyDescent="0.2">
      <c r="K1782" s="93"/>
    </row>
    <row r="1783" spans="5:11" x14ac:dyDescent="0.2">
      <c r="E1783" s="93"/>
      <c r="K1783" s="93"/>
    </row>
    <row r="1784" spans="5:11" x14ac:dyDescent="0.2">
      <c r="E1784" s="93"/>
      <c r="K1784" s="93"/>
    </row>
    <row r="1785" spans="5:11" x14ac:dyDescent="0.2">
      <c r="E1785" s="93"/>
      <c r="K1785" s="93"/>
    </row>
    <row r="1786" spans="5:11" x14ac:dyDescent="0.2">
      <c r="E1786" s="93"/>
      <c r="K1786" s="93"/>
    </row>
    <row r="1787" spans="5:11" x14ac:dyDescent="0.2">
      <c r="K1787" s="93"/>
    </row>
    <row r="1788" spans="5:11" x14ac:dyDescent="0.2">
      <c r="E1788" s="93"/>
      <c r="K1788" s="93"/>
    </row>
    <row r="1789" spans="5:11" x14ac:dyDescent="0.2">
      <c r="E1789" s="93"/>
      <c r="K1789" s="93"/>
    </row>
    <row r="1790" spans="5:11" x14ac:dyDescent="0.2">
      <c r="E1790" s="93"/>
      <c r="K1790" s="93"/>
    </row>
    <row r="1791" spans="5:11" x14ac:dyDescent="0.2">
      <c r="E1791" s="93"/>
      <c r="K1791" s="93"/>
    </row>
    <row r="1792" spans="5:11" x14ac:dyDescent="0.2">
      <c r="E1792" s="93"/>
      <c r="K1792" s="93"/>
    </row>
    <row r="1793" spans="5:11" x14ac:dyDescent="0.2">
      <c r="E1793" s="93"/>
      <c r="K1793" s="93"/>
    </row>
    <row r="1794" spans="5:11" x14ac:dyDescent="0.2">
      <c r="E1794" s="93"/>
      <c r="K1794" s="93"/>
    </row>
    <row r="1795" spans="5:11" x14ac:dyDescent="0.2">
      <c r="E1795" s="93"/>
      <c r="K1795" s="93"/>
    </row>
    <row r="1796" spans="5:11" x14ac:dyDescent="0.2">
      <c r="E1796" s="93"/>
      <c r="K1796" s="93"/>
    </row>
    <row r="1797" spans="5:11" x14ac:dyDescent="0.2">
      <c r="E1797" s="93"/>
      <c r="K1797" s="93"/>
    </row>
    <row r="1798" spans="5:11" x14ac:dyDescent="0.2">
      <c r="K1798" s="93"/>
    </row>
    <row r="1799" spans="5:11" x14ac:dyDescent="0.2">
      <c r="K1799" s="93"/>
    </row>
    <row r="1800" spans="5:11" x14ac:dyDescent="0.2">
      <c r="E1800" s="93"/>
      <c r="K1800" s="93"/>
    </row>
    <row r="1801" spans="5:11" x14ac:dyDescent="0.2">
      <c r="K1801" s="93"/>
    </row>
    <row r="1802" spans="5:11" x14ac:dyDescent="0.2">
      <c r="K1802" s="93"/>
    </row>
    <row r="1803" spans="5:11" x14ac:dyDescent="0.2">
      <c r="E1803" s="93"/>
      <c r="K1803" s="93"/>
    </row>
    <row r="1804" spans="5:11" x14ac:dyDescent="0.2">
      <c r="K1804" s="93"/>
    </row>
    <row r="1805" spans="5:11" x14ac:dyDescent="0.2">
      <c r="K1805" s="93"/>
    </row>
    <row r="1806" spans="5:11" x14ac:dyDescent="0.2">
      <c r="E1806" s="93"/>
      <c r="K1806" s="93"/>
    </row>
    <row r="1807" spans="5:11" x14ac:dyDescent="0.2">
      <c r="E1807" s="93"/>
      <c r="K1807" s="93"/>
    </row>
    <row r="1808" spans="5:11" x14ac:dyDescent="0.2">
      <c r="K1808" s="93"/>
    </row>
    <row r="1809" spans="5:11" x14ac:dyDescent="0.2">
      <c r="K1809" s="93"/>
    </row>
    <row r="1810" spans="5:11" x14ac:dyDescent="0.2">
      <c r="K1810" s="93"/>
    </row>
    <row r="1811" spans="5:11" x14ac:dyDescent="0.2">
      <c r="K1811" s="93"/>
    </row>
    <row r="1812" spans="5:11" x14ac:dyDescent="0.2">
      <c r="K1812" s="93"/>
    </row>
    <row r="1813" spans="5:11" x14ac:dyDescent="0.2">
      <c r="E1813" s="93"/>
      <c r="K1813" s="93"/>
    </row>
    <row r="1814" spans="5:11" x14ac:dyDescent="0.2">
      <c r="E1814" s="93"/>
      <c r="K1814" s="93"/>
    </row>
    <row r="1815" spans="5:11" x14ac:dyDescent="0.2">
      <c r="E1815" s="93"/>
      <c r="K1815" s="93"/>
    </row>
    <row r="1816" spans="5:11" x14ac:dyDescent="0.2">
      <c r="E1816" s="93"/>
      <c r="K1816" s="93"/>
    </row>
    <row r="1817" spans="5:11" x14ac:dyDescent="0.2">
      <c r="E1817" s="93"/>
      <c r="K1817" s="93"/>
    </row>
    <row r="1818" spans="5:11" x14ac:dyDescent="0.2">
      <c r="K1818" s="93"/>
    </row>
    <row r="1819" spans="5:11" x14ac:dyDescent="0.2">
      <c r="E1819" s="93"/>
      <c r="K1819" s="93"/>
    </row>
    <row r="1820" spans="5:11" x14ac:dyDescent="0.2">
      <c r="E1820" s="93"/>
      <c r="K1820" s="93"/>
    </row>
    <row r="1821" spans="5:11" x14ac:dyDescent="0.2">
      <c r="E1821" s="93"/>
      <c r="K1821" s="93"/>
    </row>
    <row r="1822" spans="5:11" x14ac:dyDescent="0.2">
      <c r="K1822" s="93"/>
    </row>
    <row r="1823" spans="5:11" x14ac:dyDescent="0.2">
      <c r="K1823" s="93"/>
    </row>
    <row r="1824" spans="5:11" x14ac:dyDescent="0.2">
      <c r="K1824" s="93"/>
    </row>
    <row r="1825" spans="5:11" x14ac:dyDescent="0.2">
      <c r="K1825" s="93"/>
    </row>
    <row r="1826" spans="5:11" x14ac:dyDescent="0.2">
      <c r="K1826" s="93"/>
    </row>
    <row r="1827" spans="5:11" x14ac:dyDescent="0.2">
      <c r="K1827" s="93"/>
    </row>
    <row r="1828" spans="5:11" x14ac:dyDescent="0.2">
      <c r="E1828" s="93"/>
      <c r="K1828" s="93"/>
    </row>
    <row r="1829" spans="5:11" x14ac:dyDescent="0.2">
      <c r="K1829" s="93"/>
    </row>
    <row r="1830" spans="5:11" x14ac:dyDescent="0.2">
      <c r="E1830" s="93"/>
      <c r="K1830" s="93"/>
    </row>
    <row r="1831" spans="5:11" x14ac:dyDescent="0.2">
      <c r="K1831" s="93"/>
    </row>
    <row r="1832" spans="5:11" x14ac:dyDescent="0.2">
      <c r="K1832" s="93"/>
    </row>
    <row r="1833" spans="5:11" x14ac:dyDescent="0.2">
      <c r="E1833" s="93"/>
      <c r="K1833" s="93"/>
    </row>
    <row r="1834" spans="5:11" x14ac:dyDescent="0.2">
      <c r="K1834" s="93"/>
    </row>
    <row r="1835" spans="5:11" x14ac:dyDescent="0.2">
      <c r="E1835" s="93"/>
      <c r="K1835" s="93"/>
    </row>
    <row r="1836" spans="5:11" x14ac:dyDescent="0.2">
      <c r="K1836" s="93"/>
    </row>
    <row r="1837" spans="5:11" x14ac:dyDescent="0.2">
      <c r="E1837" s="93"/>
      <c r="K1837" s="93"/>
    </row>
    <row r="1838" spans="5:11" x14ac:dyDescent="0.2">
      <c r="K1838" s="93"/>
    </row>
    <row r="1839" spans="5:11" x14ac:dyDescent="0.2">
      <c r="E1839" s="93"/>
      <c r="K1839" s="93"/>
    </row>
    <row r="1840" spans="5:11" x14ac:dyDescent="0.2">
      <c r="K1840" s="93"/>
    </row>
    <row r="1841" spans="5:11" x14ac:dyDescent="0.2">
      <c r="E1841" s="93"/>
      <c r="K1841" s="93"/>
    </row>
    <row r="1842" spans="5:11" x14ac:dyDescent="0.2">
      <c r="K1842" s="93"/>
    </row>
    <row r="1843" spans="5:11" x14ac:dyDescent="0.2">
      <c r="E1843" s="93"/>
      <c r="K1843" s="93"/>
    </row>
    <row r="1844" spans="5:11" x14ac:dyDescent="0.2">
      <c r="E1844" s="93"/>
      <c r="K1844" s="93"/>
    </row>
    <row r="1845" spans="5:11" x14ac:dyDescent="0.2">
      <c r="E1845" s="93"/>
      <c r="K1845" s="93"/>
    </row>
    <row r="1846" spans="5:11" x14ac:dyDescent="0.2">
      <c r="E1846" s="93"/>
      <c r="K1846" s="93"/>
    </row>
    <row r="1847" spans="5:11" x14ac:dyDescent="0.2">
      <c r="K1847" s="93"/>
    </row>
    <row r="1848" spans="5:11" x14ac:dyDescent="0.2">
      <c r="E1848" s="93"/>
      <c r="K1848" s="93"/>
    </row>
    <row r="1849" spans="5:11" x14ac:dyDescent="0.2">
      <c r="E1849" s="93"/>
      <c r="K1849" s="93"/>
    </row>
    <row r="1850" spans="5:11" x14ac:dyDescent="0.2">
      <c r="E1850" s="93"/>
      <c r="K1850" s="93"/>
    </row>
    <row r="1851" spans="5:11" x14ac:dyDescent="0.2">
      <c r="E1851" s="93"/>
      <c r="K1851" s="93"/>
    </row>
    <row r="1852" spans="5:11" x14ac:dyDescent="0.2">
      <c r="K1852" s="93"/>
    </row>
    <row r="1853" spans="5:11" x14ac:dyDescent="0.2">
      <c r="E1853" s="93"/>
      <c r="K1853" s="93"/>
    </row>
    <row r="1854" spans="5:11" x14ac:dyDescent="0.2">
      <c r="K1854" s="93"/>
    </row>
    <row r="1855" spans="5:11" x14ac:dyDescent="0.2">
      <c r="E1855" s="93"/>
      <c r="K1855" s="93"/>
    </row>
    <row r="1856" spans="5:11" x14ac:dyDescent="0.2">
      <c r="K1856" s="93"/>
    </row>
    <row r="1857" spans="5:11" x14ac:dyDescent="0.2">
      <c r="K1857" s="93"/>
    </row>
    <row r="1858" spans="5:11" x14ac:dyDescent="0.2">
      <c r="K1858" s="93"/>
    </row>
    <row r="1859" spans="5:11" x14ac:dyDescent="0.2">
      <c r="E1859" s="93"/>
      <c r="K1859" s="93"/>
    </row>
    <row r="1860" spans="5:11" x14ac:dyDescent="0.2">
      <c r="K1860" s="93"/>
    </row>
    <row r="1861" spans="5:11" x14ac:dyDescent="0.2">
      <c r="K1861" s="93"/>
    </row>
    <row r="1862" spans="5:11" x14ac:dyDescent="0.2">
      <c r="K1862" s="93"/>
    </row>
    <row r="1863" spans="5:11" x14ac:dyDescent="0.2">
      <c r="E1863" s="93"/>
      <c r="K1863" s="93"/>
    </row>
    <row r="1864" spans="5:11" x14ac:dyDescent="0.2">
      <c r="K1864" s="93"/>
    </row>
    <row r="1865" spans="5:11" x14ac:dyDescent="0.2">
      <c r="K1865" s="93"/>
    </row>
    <row r="1866" spans="5:11" x14ac:dyDescent="0.2">
      <c r="K1866" s="93"/>
    </row>
    <row r="1867" spans="5:11" x14ac:dyDescent="0.2">
      <c r="E1867" s="93"/>
      <c r="K1867" s="93"/>
    </row>
    <row r="1868" spans="5:11" x14ac:dyDescent="0.2">
      <c r="E1868" s="93"/>
      <c r="K1868" s="93"/>
    </row>
    <row r="1869" spans="5:11" x14ac:dyDescent="0.2">
      <c r="E1869" s="93"/>
      <c r="K1869" s="93"/>
    </row>
    <row r="1870" spans="5:11" x14ac:dyDescent="0.2">
      <c r="E1870" s="93"/>
      <c r="K1870" s="93"/>
    </row>
    <row r="1871" spans="5:11" x14ac:dyDescent="0.2">
      <c r="E1871" s="93"/>
      <c r="K1871" s="93"/>
    </row>
    <row r="1872" spans="5:11" x14ac:dyDescent="0.2">
      <c r="E1872" s="93"/>
      <c r="K1872" s="93"/>
    </row>
    <row r="1873" spans="5:11" x14ac:dyDescent="0.2">
      <c r="K1873" s="93"/>
    </row>
    <row r="1874" spans="5:11" x14ac:dyDescent="0.2">
      <c r="K1874" s="93"/>
    </row>
    <row r="1875" spans="5:11" x14ac:dyDescent="0.2">
      <c r="K1875" s="93"/>
    </row>
    <row r="1876" spans="5:11" x14ac:dyDescent="0.2">
      <c r="E1876" s="93"/>
      <c r="K1876" s="93"/>
    </row>
    <row r="1877" spans="5:11" x14ac:dyDescent="0.2">
      <c r="E1877" s="93"/>
      <c r="K1877" s="93"/>
    </row>
    <row r="1878" spans="5:11" x14ac:dyDescent="0.2">
      <c r="E1878" s="93"/>
      <c r="K1878" s="93"/>
    </row>
    <row r="1879" spans="5:11" x14ac:dyDescent="0.2">
      <c r="E1879" s="93"/>
      <c r="K1879" s="93"/>
    </row>
    <row r="1880" spans="5:11" x14ac:dyDescent="0.2">
      <c r="E1880" s="93"/>
      <c r="K1880" s="93"/>
    </row>
    <row r="1881" spans="5:11" x14ac:dyDescent="0.2">
      <c r="K1881" s="93"/>
    </row>
    <row r="1882" spans="5:11" x14ac:dyDescent="0.2">
      <c r="E1882" s="93"/>
      <c r="K1882" s="93"/>
    </row>
    <row r="1883" spans="5:11" x14ac:dyDescent="0.2">
      <c r="K1883" s="93"/>
    </row>
    <row r="1884" spans="5:11" x14ac:dyDescent="0.2">
      <c r="E1884" s="93"/>
      <c r="K1884" s="93"/>
    </row>
    <row r="1885" spans="5:11" x14ac:dyDescent="0.2">
      <c r="E1885" s="93"/>
      <c r="K1885" s="93"/>
    </row>
    <row r="1886" spans="5:11" x14ac:dyDescent="0.2">
      <c r="E1886" s="93"/>
      <c r="K1886" s="93"/>
    </row>
    <row r="1887" spans="5:11" x14ac:dyDescent="0.2">
      <c r="E1887" s="93"/>
      <c r="K1887" s="93"/>
    </row>
    <row r="1888" spans="5:11" x14ac:dyDescent="0.2">
      <c r="K1888" s="93"/>
    </row>
    <row r="1889" spans="5:11" x14ac:dyDescent="0.2">
      <c r="E1889" s="93"/>
      <c r="K1889" s="93"/>
    </row>
    <row r="1890" spans="5:11" x14ac:dyDescent="0.2">
      <c r="K1890" s="93"/>
    </row>
    <row r="1891" spans="5:11" x14ac:dyDescent="0.2">
      <c r="E1891" s="93"/>
      <c r="K1891" s="93"/>
    </row>
    <row r="1892" spans="5:11" x14ac:dyDescent="0.2">
      <c r="E1892" s="93"/>
      <c r="K1892" s="93"/>
    </row>
    <row r="1893" spans="5:11" x14ac:dyDescent="0.2">
      <c r="K1893" s="93"/>
    </row>
    <row r="1894" spans="5:11" x14ac:dyDescent="0.2">
      <c r="K1894" s="93"/>
    </row>
    <row r="1895" spans="5:11" x14ac:dyDescent="0.2">
      <c r="K1895" s="93"/>
    </row>
    <row r="1896" spans="5:11" x14ac:dyDescent="0.2">
      <c r="E1896" s="93"/>
      <c r="K1896" s="93"/>
    </row>
    <row r="1897" spans="5:11" x14ac:dyDescent="0.2">
      <c r="E1897" s="93"/>
      <c r="K1897" s="93"/>
    </row>
    <row r="1898" spans="5:11" x14ac:dyDescent="0.2">
      <c r="E1898" s="93"/>
      <c r="K1898" s="93"/>
    </row>
    <row r="1899" spans="5:11" x14ac:dyDescent="0.2">
      <c r="E1899" s="93"/>
      <c r="K1899" s="93"/>
    </row>
    <row r="1900" spans="5:11" x14ac:dyDescent="0.2">
      <c r="E1900" s="93"/>
      <c r="K1900" s="93"/>
    </row>
    <row r="1901" spans="5:11" x14ac:dyDescent="0.2">
      <c r="E1901" s="93"/>
      <c r="K1901" s="93"/>
    </row>
    <row r="1902" spans="5:11" x14ac:dyDescent="0.2">
      <c r="K1902" s="93"/>
    </row>
    <row r="1903" spans="5:11" x14ac:dyDescent="0.2">
      <c r="K1903" s="93"/>
    </row>
    <row r="1904" spans="5:11" x14ac:dyDescent="0.2">
      <c r="K1904" s="93"/>
    </row>
    <row r="1905" spans="5:11" x14ac:dyDescent="0.2">
      <c r="K1905" s="93"/>
    </row>
    <row r="1906" spans="5:11" x14ac:dyDescent="0.2">
      <c r="E1906" s="93"/>
      <c r="K1906" s="93"/>
    </row>
    <row r="1907" spans="5:11" x14ac:dyDescent="0.2">
      <c r="E1907" s="93"/>
      <c r="K1907" s="93"/>
    </row>
    <row r="1908" spans="5:11" x14ac:dyDescent="0.2">
      <c r="E1908" s="93"/>
      <c r="K1908" s="93"/>
    </row>
    <row r="1909" spans="5:11" x14ac:dyDescent="0.2">
      <c r="E1909" s="93"/>
      <c r="K1909" s="93"/>
    </row>
    <row r="1910" spans="5:11" x14ac:dyDescent="0.2">
      <c r="K1910" s="93"/>
    </row>
    <row r="1911" spans="5:11" x14ac:dyDescent="0.2">
      <c r="K1911" s="93"/>
    </row>
    <row r="1912" spans="5:11" x14ac:dyDescent="0.2">
      <c r="E1912" s="93"/>
      <c r="K1912" s="93"/>
    </row>
    <row r="1913" spans="5:11" x14ac:dyDescent="0.2">
      <c r="K1913" s="93"/>
    </row>
    <row r="1914" spans="5:11" x14ac:dyDescent="0.2">
      <c r="E1914" s="93"/>
      <c r="K1914" s="93"/>
    </row>
    <row r="1915" spans="5:11" x14ac:dyDescent="0.2">
      <c r="E1915" s="93"/>
      <c r="K1915" s="93"/>
    </row>
    <row r="1916" spans="5:11" x14ac:dyDescent="0.2">
      <c r="K1916" s="93"/>
    </row>
    <row r="1917" spans="5:11" x14ac:dyDescent="0.2">
      <c r="E1917" s="93"/>
      <c r="K1917" s="93"/>
    </row>
    <row r="1918" spans="5:11" x14ac:dyDescent="0.2">
      <c r="K1918" s="93"/>
    </row>
    <row r="1919" spans="5:11" x14ac:dyDescent="0.2">
      <c r="K1919" s="93"/>
    </row>
    <row r="1920" spans="5:11" x14ac:dyDescent="0.2">
      <c r="E1920" s="93"/>
      <c r="K1920" s="93"/>
    </row>
    <row r="1921" spans="5:11" x14ac:dyDescent="0.2">
      <c r="K1921" s="93"/>
    </row>
    <row r="1922" spans="5:11" x14ac:dyDescent="0.2">
      <c r="E1922" s="93"/>
      <c r="K1922" s="93"/>
    </row>
    <row r="1923" spans="5:11" x14ac:dyDescent="0.2">
      <c r="K1923" s="93"/>
    </row>
    <row r="1924" spans="5:11" x14ac:dyDescent="0.2">
      <c r="K1924" s="93"/>
    </row>
    <row r="1925" spans="5:11" x14ac:dyDescent="0.2">
      <c r="E1925" s="93"/>
      <c r="K1925" s="93"/>
    </row>
    <row r="1926" spans="5:11" x14ac:dyDescent="0.2">
      <c r="E1926" s="93"/>
      <c r="K1926" s="93"/>
    </row>
    <row r="1927" spans="5:11" x14ac:dyDescent="0.2">
      <c r="K1927" s="93"/>
    </row>
    <row r="1928" spans="5:11" x14ac:dyDescent="0.2">
      <c r="E1928" s="93"/>
      <c r="K1928" s="93"/>
    </row>
    <row r="1929" spans="5:11" x14ac:dyDescent="0.2">
      <c r="K1929" s="93"/>
    </row>
    <row r="1930" spans="5:11" x14ac:dyDescent="0.2">
      <c r="E1930" s="93"/>
      <c r="K1930" s="93"/>
    </row>
    <row r="1931" spans="5:11" x14ac:dyDescent="0.2">
      <c r="K1931" s="93"/>
    </row>
    <row r="1932" spans="5:11" x14ac:dyDescent="0.2">
      <c r="E1932" s="93"/>
      <c r="K1932" s="93"/>
    </row>
    <row r="1933" spans="5:11" x14ac:dyDescent="0.2">
      <c r="K1933" s="93"/>
    </row>
    <row r="1934" spans="5:11" x14ac:dyDescent="0.2">
      <c r="K1934" s="93"/>
    </row>
    <row r="1935" spans="5:11" x14ac:dyDescent="0.2">
      <c r="E1935" s="93"/>
      <c r="K1935" s="93"/>
    </row>
    <row r="1936" spans="5:11" x14ac:dyDescent="0.2">
      <c r="E1936" s="93"/>
      <c r="K1936" s="93"/>
    </row>
    <row r="1937" spans="5:11" x14ac:dyDescent="0.2">
      <c r="E1937" s="93"/>
      <c r="K1937" s="93"/>
    </row>
    <row r="1938" spans="5:11" x14ac:dyDescent="0.2">
      <c r="E1938" s="93"/>
      <c r="K1938" s="93"/>
    </row>
    <row r="1939" spans="5:11" x14ac:dyDescent="0.2">
      <c r="K1939" s="93"/>
    </row>
    <row r="1940" spans="5:11" x14ac:dyDescent="0.2">
      <c r="K1940" s="93"/>
    </row>
    <row r="1941" spans="5:11" x14ac:dyDescent="0.2">
      <c r="E1941" s="93"/>
      <c r="K1941" s="93"/>
    </row>
    <row r="1942" spans="5:11" x14ac:dyDescent="0.2">
      <c r="E1942" s="93"/>
      <c r="K1942" s="93"/>
    </row>
    <row r="1943" spans="5:11" x14ac:dyDescent="0.2">
      <c r="E1943" s="93"/>
      <c r="K1943" s="93"/>
    </row>
    <row r="1944" spans="5:11" x14ac:dyDescent="0.2">
      <c r="E1944" s="93"/>
      <c r="K1944" s="93"/>
    </row>
    <row r="1945" spans="5:11" x14ac:dyDescent="0.2">
      <c r="K1945" s="93"/>
    </row>
    <row r="1946" spans="5:11" x14ac:dyDescent="0.2">
      <c r="E1946" s="93"/>
      <c r="K1946" s="93"/>
    </row>
    <row r="1947" spans="5:11" x14ac:dyDescent="0.2">
      <c r="K1947" s="93"/>
    </row>
    <row r="1948" spans="5:11" x14ac:dyDescent="0.2">
      <c r="E1948" s="93"/>
      <c r="K1948" s="93"/>
    </row>
    <row r="1949" spans="5:11" x14ac:dyDescent="0.2">
      <c r="E1949" s="93"/>
      <c r="K1949" s="93"/>
    </row>
    <row r="1950" spans="5:11" x14ac:dyDescent="0.2">
      <c r="K1950" s="93"/>
    </row>
    <row r="1951" spans="5:11" x14ac:dyDescent="0.2">
      <c r="E1951" s="93"/>
      <c r="K1951" s="93"/>
    </row>
    <row r="1952" spans="5:11" x14ac:dyDescent="0.2">
      <c r="E1952" s="93"/>
      <c r="K1952" s="93"/>
    </row>
    <row r="1953" spans="5:11" x14ac:dyDescent="0.2">
      <c r="E1953" s="93"/>
      <c r="K1953" s="93"/>
    </row>
    <row r="1954" spans="5:11" x14ac:dyDescent="0.2">
      <c r="E1954" s="93"/>
      <c r="K1954" s="93"/>
    </row>
    <row r="1955" spans="5:11" x14ac:dyDescent="0.2">
      <c r="K1955" s="93"/>
    </row>
    <row r="1956" spans="5:11" x14ac:dyDescent="0.2">
      <c r="K1956" s="93"/>
    </row>
    <row r="1957" spans="5:11" x14ac:dyDescent="0.2">
      <c r="K1957" s="93"/>
    </row>
    <row r="1958" spans="5:11" x14ac:dyDescent="0.2">
      <c r="E1958" s="93"/>
      <c r="K1958" s="93"/>
    </row>
    <row r="1959" spans="5:11" x14ac:dyDescent="0.2">
      <c r="E1959" s="93"/>
      <c r="K1959" s="93"/>
    </row>
    <row r="1960" spans="5:11" x14ac:dyDescent="0.2">
      <c r="E1960" s="93"/>
      <c r="K1960" s="93"/>
    </row>
    <row r="1961" spans="5:11" x14ac:dyDescent="0.2">
      <c r="E1961" s="93"/>
      <c r="K1961" s="93"/>
    </row>
    <row r="1962" spans="5:11" x14ac:dyDescent="0.2">
      <c r="K1962" s="93"/>
    </row>
    <row r="1963" spans="5:11" x14ac:dyDescent="0.2">
      <c r="E1963" s="93"/>
      <c r="K1963" s="93"/>
    </row>
    <row r="1964" spans="5:11" x14ac:dyDescent="0.2">
      <c r="E1964" s="93"/>
      <c r="K1964" s="93"/>
    </row>
    <row r="1965" spans="5:11" x14ac:dyDescent="0.2">
      <c r="E1965" s="93"/>
      <c r="K1965" s="93"/>
    </row>
    <row r="1966" spans="5:11" x14ac:dyDescent="0.2">
      <c r="K1966" s="93"/>
    </row>
    <row r="1967" spans="5:11" x14ac:dyDescent="0.2">
      <c r="E1967" s="93"/>
      <c r="K1967" s="93"/>
    </row>
    <row r="1968" spans="5:11" x14ac:dyDescent="0.2">
      <c r="E1968" s="93"/>
      <c r="K1968" s="93"/>
    </row>
    <row r="1969" spans="5:11" x14ac:dyDescent="0.2">
      <c r="K1969" s="93"/>
    </row>
    <row r="1970" spans="5:11" x14ac:dyDescent="0.2">
      <c r="K1970" s="93"/>
    </row>
    <row r="1971" spans="5:11" x14ac:dyDescent="0.2">
      <c r="K1971" s="93"/>
    </row>
    <row r="1972" spans="5:11" x14ac:dyDescent="0.2">
      <c r="K1972" s="93"/>
    </row>
    <row r="1973" spans="5:11" x14ac:dyDescent="0.2">
      <c r="E1973" s="93"/>
      <c r="K1973" s="93"/>
    </row>
    <row r="1974" spans="5:11" x14ac:dyDescent="0.2">
      <c r="E1974" s="93"/>
      <c r="K1974" s="93"/>
    </row>
    <row r="1975" spans="5:11" x14ac:dyDescent="0.2">
      <c r="K1975" s="93"/>
    </row>
    <row r="1976" spans="5:11" x14ac:dyDescent="0.2">
      <c r="E1976" s="93"/>
      <c r="K1976" s="93"/>
    </row>
    <row r="1977" spans="5:11" x14ac:dyDescent="0.2">
      <c r="K1977" s="93"/>
    </row>
    <row r="1978" spans="5:11" x14ac:dyDescent="0.2">
      <c r="K1978" s="93"/>
    </row>
    <row r="1979" spans="5:11" x14ac:dyDescent="0.2">
      <c r="K1979" s="93"/>
    </row>
    <row r="1980" spans="5:11" x14ac:dyDescent="0.2">
      <c r="E1980" s="93"/>
      <c r="K1980" s="93"/>
    </row>
    <row r="1981" spans="5:11" x14ac:dyDescent="0.2">
      <c r="K1981" s="93"/>
    </row>
    <row r="1982" spans="5:11" x14ac:dyDescent="0.2">
      <c r="E1982" s="93"/>
      <c r="K1982" s="93"/>
    </row>
    <row r="1983" spans="5:11" x14ac:dyDescent="0.2">
      <c r="E1983" s="93"/>
      <c r="K1983" s="93"/>
    </row>
    <row r="1984" spans="5:11" x14ac:dyDescent="0.2">
      <c r="E1984" s="93"/>
      <c r="K1984" s="93"/>
    </row>
    <row r="1985" spans="5:11" x14ac:dyDescent="0.2">
      <c r="K1985" s="93"/>
    </row>
    <row r="1986" spans="5:11" x14ac:dyDescent="0.2">
      <c r="E1986" s="93"/>
      <c r="K1986" s="93"/>
    </row>
    <row r="1987" spans="5:11" x14ac:dyDescent="0.2">
      <c r="K1987" s="93"/>
    </row>
    <row r="1988" spans="5:11" x14ac:dyDescent="0.2">
      <c r="E1988" s="93"/>
      <c r="K1988" s="93"/>
    </row>
    <row r="1989" spans="5:11" x14ac:dyDescent="0.2">
      <c r="K1989" s="93"/>
    </row>
    <row r="1990" spans="5:11" x14ac:dyDescent="0.2">
      <c r="K1990" s="93"/>
    </row>
    <row r="1991" spans="5:11" x14ac:dyDescent="0.2">
      <c r="K1991" s="93"/>
    </row>
    <row r="1992" spans="5:11" x14ac:dyDescent="0.2">
      <c r="K1992" s="93"/>
    </row>
    <row r="1993" spans="5:11" x14ac:dyDescent="0.2">
      <c r="E1993" s="93"/>
      <c r="K1993" s="93"/>
    </row>
    <row r="1994" spans="5:11" x14ac:dyDescent="0.2">
      <c r="E1994" s="93"/>
      <c r="K1994" s="93"/>
    </row>
    <row r="1995" spans="5:11" x14ac:dyDescent="0.2">
      <c r="E1995" s="93"/>
      <c r="K1995" s="93"/>
    </row>
    <row r="1996" spans="5:11" x14ac:dyDescent="0.2">
      <c r="E1996" s="93"/>
      <c r="K1996" s="93"/>
    </row>
    <row r="1997" spans="5:11" x14ac:dyDescent="0.2">
      <c r="E1997" s="93"/>
      <c r="K1997" s="93"/>
    </row>
    <row r="1998" spans="5:11" x14ac:dyDescent="0.2">
      <c r="E1998" s="93"/>
      <c r="K1998" s="93"/>
    </row>
    <row r="1999" spans="5:11" x14ac:dyDescent="0.2">
      <c r="K1999" s="93"/>
    </row>
    <row r="2000" spans="5:11" x14ac:dyDescent="0.2">
      <c r="E2000" s="93"/>
      <c r="K2000" s="93"/>
    </row>
    <row r="2001" spans="5:11" x14ac:dyDescent="0.2">
      <c r="K2001" s="93"/>
    </row>
    <row r="2002" spans="5:11" x14ac:dyDescent="0.2">
      <c r="E2002" s="93"/>
      <c r="K2002" s="93"/>
    </row>
    <row r="2003" spans="5:11" x14ac:dyDescent="0.2">
      <c r="K2003" s="93"/>
    </row>
    <row r="2004" spans="5:11" x14ac:dyDescent="0.2">
      <c r="K2004" s="93"/>
    </row>
    <row r="2005" spans="5:11" x14ac:dyDescent="0.2">
      <c r="K2005" s="93"/>
    </row>
    <row r="2006" spans="5:11" x14ac:dyDescent="0.2">
      <c r="K2006" s="93"/>
    </row>
    <row r="2007" spans="5:11" x14ac:dyDescent="0.2">
      <c r="K2007" s="93"/>
    </row>
    <row r="2008" spans="5:11" x14ac:dyDescent="0.2">
      <c r="E2008" s="93"/>
      <c r="K2008" s="93"/>
    </row>
    <row r="2009" spans="5:11" x14ac:dyDescent="0.2">
      <c r="K2009" s="93"/>
    </row>
    <row r="2010" spans="5:11" x14ac:dyDescent="0.2">
      <c r="E2010" s="93"/>
      <c r="K2010" s="93"/>
    </row>
    <row r="2011" spans="5:11" x14ac:dyDescent="0.2">
      <c r="E2011" s="93"/>
      <c r="K2011" s="93"/>
    </row>
    <row r="2012" spans="5:11" x14ac:dyDescent="0.2">
      <c r="E2012" s="93"/>
      <c r="K2012" s="93"/>
    </row>
    <row r="2013" spans="5:11" x14ac:dyDescent="0.2">
      <c r="K2013" s="93"/>
    </row>
    <row r="2014" spans="5:11" x14ac:dyDescent="0.2">
      <c r="E2014" s="93"/>
      <c r="K2014" s="93"/>
    </row>
    <row r="2015" spans="5:11" x14ac:dyDescent="0.2">
      <c r="E2015" s="93"/>
      <c r="K2015" s="93"/>
    </row>
    <row r="2016" spans="5:11" x14ac:dyDescent="0.2">
      <c r="E2016" s="93"/>
      <c r="K2016" s="93"/>
    </row>
    <row r="2017" spans="5:11" x14ac:dyDescent="0.2">
      <c r="K2017" s="93"/>
    </row>
    <row r="2018" spans="5:11" x14ac:dyDescent="0.2">
      <c r="E2018" s="93"/>
      <c r="K2018" s="93"/>
    </row>
    <row r="2019" spans="5:11" x14ac:dyDescent="0.2">
      <c r="E2019" s="93"/>
      <c r="K2019" s="93"/>
    </row>
    <row r="2020" spans="5:11" x14ac:dyDescent="0.2">
      <c r="K2020" s="93"/>
    </row>
    <row r="2021" spans="5:11" x14ac:dyDescent="0.2">
      <c r="E2021" s="93"/>
      <c r="K2021" s="93"/>
    </row>
    <row r="2022" spans="5:11" x14ac:dyDescent="0.2">
      <c r="E2022" s="93"/>
      <c r="K2022" s="93"/>
    </row>
    <row r="2023" spans="5:11" x14ac:dyDescent="0.2">
      <c r="K2023" s="93"/>
    </row>
    <row r="2024" spans="5:11" x14ac:dyDescent="0.2">
      <c r="E2024" s="93"/>
      <c r="K2024" s="93"/>
    </row>
    <row r="2025" spans="5:11" x14ac:dyDescent="0.2">
      <c r="K2025" s="93"/>
    </row>
    <row r="2026" spans="5:11" x14ac:dyDescent="0.2">
      <c r="E2026" s="93"/>
      <c r="K2026" s="93"/>
    </row>
    <row r="2027" spans="5:11" x14ac:dyDescent="0.2">
      <c r="K2027" s="93"/>
    </row>
    <row r="2028" spans="5:11" x14ac:dyDescent="0.2">
      <c r="K2028" s="93"/>
    </row>
    <row r="2029" spans="5:11" x14ac:dyDescent="0.2">
      <c r="K2029" s="93"/>
    </row>
    <row r="2030" spans="5:11" x14ac:dyDescent="0.2">
      <c r="K2030" s="93"/>
    </row>
    <row r="2031" spans="5:11" x14ac:dyDescent="0.2">
      <c r="E2031" s="93"/>
      <c r="K2031" s="93"/>
    </row>
    <row r="2032" spans="5:11" x14ac:dyDescent="0.2">
      <c r="K2032" s="93"/>
    </row>
    <row r="2033" spans="5:11" x14ac:dyDescent="0.2">
      <c r="E2033" s="93"/>
      <c r="K2033" s="93"/>
    </row>
    <row r="2034" spans="5:11" x14ac:dyDescent="0.2">
      <c r="K2034" s="93"/>
    </row>
    <row r="2035" spans="5:11" x14ac:dyDescent="0.2">
      <c r="K2035" s="93"/>
    </row>
    <row r="2036" spans="5:11" x14ac:dyDescent="0.2">
      <c r="K2036" s="93"/>
    </row>
    <row r="2037" spans="5:11" x14ac:dyDescent="0.2">
      <c r="E2037" s="93"/>
      <c r="K2037" s="93"/>
    </row>
    <row r="2038" spans="5:11" x14ac:dyDescent="0.2">
      <c r="K2038" s="93"/>
    </row>
    <row r="2039" spans="5:11" x14ac:dyDescent="0.2">
      <c r="E2039" s="93"/>
      <c r="K2039" s="93"/>
    </row>
    <row r="2040" spans="5:11" x14ac:dyDescent="0.2">
      <c r="K2040" s="93"/>
    </row>
    <row r="2041" spans="5:11" x14ac:dyDescent="0.2">
      <c r="E2041" s="93"/>
      <c r="K2041" s="93"/>
    </row>
    <row r="2042" spans="5:11" x14ac:dyDescent="0.2">
      <c r="E2042" s="93"/>
      <c r="K2042" s="93"/>
    </row>
    <row r="2043" spans="5:11" x14ac:dyDescent="0.2">
      <c r="K2043" s="93"/>
    </row>
    <row r="2044" spans="5:11" x14ac:dyDescent="0.2">
      <c r="K2044" s="93"/>
    </row>
    <row r="2045" spans="5:11" x14ac:dyDescent="0.2">
      <c r="K2045" s="93"/>
    </row>
    <row r="2046" spans="5:11" x14ac:dyDescent="0.2">
      <c r="K2046" s="93"/>
    </row>
    <row r="2047" spans="5:11" x14ac:dyDescent="0.2">
      <c r="K2047" s="93"/>
    </row>
    <row r="2048" spans="5:11" x14ac:dyDescent="0.2">
      <c r="E2048" s="93"/>
      <c r="K2048" s="93"/>
    </row>
    <row r="2049" spans="5:11" x14ac:dyDescent="0.2">
      <c r="E2049" s="93"/>
      <c r="K2049" s="93"/>
    </row>
    <row r="2050" spans="5:11" x14ac:dyDescent="0.2">
      <c r="E2050" s="93"/>
      <c r="K2050" s="93"/>
    </row>
    <row r="2051" spans="5:11" x14ac:dyDescent="0.2">
      <c r="K2051" s="93"/>
    </row>
    <row r="2052" spans="5:11" x14ac:dyDescent="0.2">
      <c r="E2052" s="93"/>
      <c r="K2052" s="93"/>
    </row>
    <row r="2053" spans="5:11" x14ac:dyDescent="0.2">
      <c r="K2053" s="93"/>
    </row>
    <row r="2054" spans="5:11" x14ac:dyDescent="0.2">
      <c r="E2054" s="93"/>
      <c r="K2054" s="93"/>
    </row>
    <row r="2055" spans="5:11" x14ac:dyDescent="0.2">
      <c r="E2055" s="93"/>
      <c r="K2055" s="93"/>
    </row>
    <row r="2056" spans="5:11" x14ac:dyDescent="0.2">
      <c r="K2056" s="93"/>
    </row>
    <row r="2057" spans="5:11" x14ac:dyDescent="0.2">
      <c r="K2057" s="93"/>
    </row>
    <row r="2058" spans="5:11" x14ac:dyDescent="0.2">
      <c r="K2058" s="93"/>
    </row>
    <row r="2059" spans="5:11" x14ac:dyDescent="0.2">
      <c r="E2059" s="93"/>
      <c r="K2059" s="93"/>
    </row>
    <row r="2060" spans="5:11" x14ac:dyDescent="0.2">
      <c r="E2060" s="93"/>
      <c r="K2060" s="93"/>
    </row>
    <row r="2061" spans="5:11" x14ac:dyDescent="0.2">
      <c r="E2061" s="93"/>
      <c r="K2061" s="93"/>
    </row>
    <row r="2062" spans="5:11" x14ac:dyDescent="0.2">
      <c r="K2062" s="93"/>
    </row>
    <row r="2063" spans="5:11" x14ac:dyDescent="0.2">
      <c r="K2063" s="93"/>
    </row>
    <row r="2064" spans="5:11" x14ac:dyDescent="0.2">
      <c r="E2064" s="93"/>
      <c r="K2064" s="93"/>
    </row>
    <row r="2065" spans="5:11" x14ac:dyDescent="0.2">
      <c r="K2065" s="93"/>
    </row>
    <row r="2066" spans="5:11" x14ac:dyDescent="0.2">
      <c r="E2066" s="93"/>
      <c r="K2066" s="93"/>
    </row>
    <row r="2067" spans="5:11" x14ac:dyDescent="0.2">
      <c r="K2067" s="93"/>
    </row>
    <row r="2068" spans="5:11" x14ac:dyDescent="0.2">
      <c r="K2068" s="93"/>
    </row>
    <row r="2069" spans="5:11" x14ac:dyDescent="0.2">
      <c r="E2069" s="93"/>
      <c r="K2069" s="93"/>
    </row>
    <row r="2070" spans="5:11" x14ac:dyDescent="0.2">
      <c r="E2070" s="93"/>
      <c r="K2070" s="93"/>
    </row>
    <row r="2071" spans="5:11" x14ac:dyDescent="0.2">
      <c r="K2071" s="93"/>
    </row>
    <row r="2072" spans="5:11" x14ac:dyDescent="0.2">
      <c r="K2072" s="93"/>
    </row>
    <row r="2073" spans="5:11" x14ac:dyDescent="0.2">
      <c r="K2073" s="93"/>
    </row>
    <row r="2074" spans="5:11" x14ac:dyDescent="0.2">
      <c r="K2074" s="93"/>
    </row>
    <row r="2075" spans="5:11" x14ac:dyDescent="0.2">
      <c r="E2075" s="93"/>
      <c r="K2075" s="93"/>
    </row>
    <row r="2076" spans="5:11" x14ac:dyDescent="0.2">
      <c r="K2076" s="93"/>
    </row>
    <row r="2077" spans="5:11" x14ac:dyDescent="0.2">
      <c r="K2077" s="93"/>
    </row>
    <row r="2078" spans="5:11" x14ac:dyDescent="0.2">
      <c r="K2078" s="93"/>
    </row>
    <row r="2079" spans="5:11" x14ac:dyDescent="0.2">
      <c r="K2079" s="93"/>
    </row>
    <row r="2080" spans="5:11" x14ac:dyDescent="0.2">
      <c r="E2080" s="93"/>
      <c r="K2080" s="93"/>
    </row>
    <row r="2081" spans="5:11" x14ac:dyDescent="0.2">
      <c r="K2081" s="93"/>
    </row>
    <row r="2082" spans="5:11" x14ac:dyDescent="0.2">
      <c r="K2082" s="93"/>
    </row>
    <row r="2083" spans="5:11" x14ac:dyDescent="0.2">
      <c r="K2083" s="93"/>
    </row>
    <row r="2084" spans="5:11" x14ac:dyDescent="0.2">
      <c r="E2084" s="93"/>
      <c r="K2084" s="93"/>
    </row>
    <row r="2085" spans="5:11" x14ac:dyDescent="0.2">
      <c r="K2085" s="93"/>
    </row>
    <row r="2086" spans="5:11" x14ac:dyDescent="0.2">
      <c r="E2086" s="93"/>
      <c r="K2086" s="93"/>
    </row>
    <row r="2087" spans="5:11" x14ac:dyDescent="0.2">
      <c r="K2087" s="93"/>
    </row>
    <row r="2088" spans="5:11" x14ac:dyDescent="0.2">
      <c r="K2088" s="93"/>
    </row>
    <row r="2089" spans="5:11" x14ac:dyDescent="0.2">
      <c r="E2089" s="93"/>
      <c r="K2089" s="93"/>
    </row>
    <row r="2090" spans="5:11" x14ac:dyDescent="0.2">
      <c r="K2090" s="93"/>
    </row>
    <row r="2091" spans="5:11" x14ac:dyDescent="0.2">
      <c r="E2091" s="93"/>
      <c r="K2091" s="93"/>
    </row>
    <row r="2092" spans="5:11" x14ac:dyDescent="0.2">
      <c r="K2092" s="93"/>
    </row>
    <row r="2093" spans="5:11" x14ac:dyDescent="0.2">
      <c r="K2093" s="93"/>
    </row>
    <row r="2094" spans="5:11" x14ac:dyDescent="0.2">
      <c r="K2094" s="93"/>
    </row>
    <row r="2095" spans="5:11" x14ac:dyDescent="0.2">
      <c r="K2095" s="93"/>
    </row>
    <row r="2096" spans="5:11" x14ac:dyDescent="0.2">
      <c r="E2096" s="93"/>
      <c r="K2096" s="93"/>
    </row>
    <row r="2097" spans="5:11" x14ac:dyDescent="0.2">
      <c r="E2097" s="93"/>
      <c r="K2097" s="93"/>
    </row>
    <row r="2098" spans="5:11" x14ac:dyDescent="0.2">
      <c r="E2098" s="93"/>
      <c r="K2098" s="93"/>
    </row>
    <row r="2099" spans="5:11" x14ac:dyDescent="0.2">
      <c r="K2099" s="93"/>
    </row>
    <row r="2100" spans="5:11" x14ac:dyDescent="0.2">
      <c r="E2100" s="93"/>
      <c r="K2100" s="93"/>
    </row>
    <row r="2101" spans="5:11" x14ac:dyDescent="0.2">
      <c r="K2101" s="93"/>
    </row>
    <row r="2102" spans="5:11" x14ac:dyDescent="0.2">
      <c r="K2102" s="93"/>
    </row>
    <row r="2103" spans="5:11" x14ac:dyDescent="0.2">
      <c r="E2103" s="93"/>
      <c r="K2103" s="93"/>
    </row>
    <row r="2104" spans="5:11" x14ac:dyDescent="0.2">
      <c r="K2104" s="93"/>
    </row>
    <row r="2105" spans="5:11" x14ac:dyDescent="0.2">
      <c r="K2105" s="93"/>
    </row>
    <row r="2106" spans="5:11" x14ac:dyDescent="0.2">
      <c r="E2106" s="93"/>
      <c r="K2106" s="93"/>
    </row>
    <row r="2107" spans="5:11" x14ac:dyDescent="0.2">
      <c r="K2107" s="93"/>
    </row>
    <row r="2108" spans="5:11" x14ac:dyDescent="0.2">
      <c r="K2108" s="93"/>
    </row>
    <row r="2109" spans="5:11" x14ac:dyDescent="0.2">
      <c r="K2109" s="93"/>
    </row>
    <row r="2110" spans="5:11" x14ac:dyDescent="0.2">
      <c r="E2110" s="93"/>
      <c r="K2110" s="93"/>
    </row>
    <row r="2111" spans="5:11" x14ac:dyDescent="0.2">
      <c r="K2111" s="93"/>
    </row>
    <row r="2112" spans="5:11" x14ac:dyDescent="0.2">
      <c r="K2112" s="93"/>
    </row>
    <row r="2113" spans="5:11" x14ac:dyDescent="0.2">
      <c r="K2113" s="93"/>
    </row>
    <row r="2114" spans="5:11" x14ac:dyDescent="0.2">
      <c r="E2114" s="93"/>
      <c r="K2114" s="93"/>
    </row>
    <row r="2115" spans="5:11" x14ac:dyDescent="0.2">
      <c r="E2115" s="93"/>
      <c r="K2115" s="93"/>
    </row>
    <row r="2116" spans="5:11" x14ac:dyDescent="0.2">
      <c r="E2116" s="93"/>
      <c r="K2116" s="93"/>
    </row>
    <row r="2117" spans="5:11" x14ac:dyDescent="0.2">
      <c r="K2117" s="93"/>
    </row>
    <row r="2118" spans="5:11" x14ac:dyDescent="0.2">
      <c r="E2118" s="93"/>
      <c r="K2118" s="93"/>
    </row>
    <row r="2119" spans="5:11" x14ac:dyDescent="0.2">
      <c r="K2119" s="93"/>
    </row>
    <row r="2120" spans="5:11" x14ac:dyDescent="0.2">
      <c r="K2120" s="93"/>
    </row>
    <row r="2121" spans="5:11" x14ac:dyDescent="0.2">
      <c r="K2121" s="93"/>
    </row>
    <row r="2122" spans="5:11" x14ac:dyDescent="0.2">
      <c r="E2122" s="93"/>
      <c r="K2122" s="93"/>
    </row>
    <row r="2123" spans="5:11" x14ac:dyDescent="0.2">
      <c r="K2123" s="93"/>
    </row>
    <row r="2124" spans="5:11" x14ac:dyDescent="0.2">
      <c r="E2124" s="93"/>
      <c r="K2124" s="93"/>
    </row>
    <row r="2125" spans="5:11" x14ac:dyDescent="0.2">
      <c r="E2125" s="93"/>
      <c r="K2125" s="93"/>
    </row>
    <row r="2126" spans="5:11" x14ac:dyDescent="0.2">
      <c r="E2126" s="93"/>
      <c r="K2126" s="93"/>
    </row>
    <row r="2127" spans="5:11" x14ac:dyDescent="0.2">
      <c r="E2127" s="93"/>
      <c r="K2127" s="93"/>
    </row>
    <row r="2128" spans="5:11" x14ac:dyDescent="0.2">
      <c r="E2128" s="93"/>
      <c r="K2128" s="93"/>
    </row>
    <row r="2129" spans="5:11" x14ac:dyDescent="0.2">
      <c r="K2129" s="93"/>
    </row>
    <row r="2130" spans="5:11" x14ac:dyDescent="0.2">
      <c r="K2130" s="93"/>
    </row>
    <row r="2131" spans="5:11" x14ac:dyDescent="0.2">
      <c r="E2131" s="93"/>
      <c r="K2131" s="93"/>
    </row>
    <row r="2132" spans="5:11" x14ac:dyDescent="0.2">
      <c r="E2132" s="93"/>
      <c r="K2132" s="93"/>
    </row>
    <row r="2133" spans="5:11" x14ac:dyDescent="0.2">
      <c r="E2133" s="93"/>
      <c r="K2133" s="93"/>
    </row>
    <row r="2134" spans="5:11" x14ac:dyDescent="0.2">
      <c r="K2134" s="93"/>
    </row>
    <row r="2135" spans="5:11" x14ac:dyDescent="0.2">
      <c r="K2135" s="93"/>
    </row>
    <row r="2136" spans="5:11" x14ac:dyDescent="0.2">
      <c r="E2136" s="93"/>
      <c r="K2136" s="93"/>
    </row>
    <row r="2137" spans="5:11" x14ac:dyDescent="0.2">
      <c r="K2137" s="93"/>
    </row>
    <row r="2138" spans="5:11" x14ac:dyDescent="0.2">
      <c r="E2138" s="93"/>
      <c r="K2138" s="93"/>
    </row>
    <row r="2139" spans="5:11" x14ac:dyDescent="0.2">
      <c r="E2139" s="93"/>
      <c r="K2139" s="93"/>
    </row>
    <row r="2140" spans="5:11" x14ac:dyDescent="0.2">
      <c r="K2140" s="93"/>
    </row>
    <row r="2141" spans="5:11" x14ac:dyDescent="0.2">
      <c r="E2141" s="93"/>
      <c r="K2141" s="93"/>
    </row>
    <row r="2142" spans="5:11" x14ac:dyDescent="0.2">
      <c r="K2142" s="93"/>
    </row>
    <row r="2143" spans="5:11" x14ac:dyDescent="0.2">
      <c r="E2143" s="93"/>
      <c r="K2143" s="93"/>
    </row>
    <row r="2144" spans="5:11" x14ac:dyDescent="0.2">
      <c r="K2144" s="93"/>
    </row>
    <row r="2145" spans="5:11" x14ac:dyDescent="0.2">
      <c r="E2145" s="93"/>
      <c r="K2145" s="93"/>
    </row>
    <row r="2146" spans="5:11" x14ac:dyDescent="0.2">
      <c r="K2146" s="93"/>
    </row>
    <row r="2147" spans="5:11" x14ac:dyDescent="0.2">
      <c r="E2147" s="93"/>
      <c r="K2147" s="93"/>
    </row>
    <row r="2148" spans="5:11" x14ac:dyDescent="0.2">
      <c r="K2148" s="93"/>
    </row>
    <row r="2149" spans="5:11" x14ac:dyDescent="0.2">
      <c r="E2149" s="93"/>
      <c r="K2149" s="93"/>
    </row>
    <row r="2150" spans="5:11" x14ac:dyDescent="0.2">
      <c r="E2150" s="93"/>
      <c r="K2150" s="93"/>
    </row>
    <row r="2151" spans="5:11" x14ac:dyDescent="0.2">
      <c r="E2151" s="93"/>
      <c r="K2151" s="93"/>
    </row>
    <row r="2152" spans="5:11" x14ac:dyDescent="0.2">
      <c r="E2152" s="93"/>
      <c r="K2152" s="93"/>
    </row>
    <row r="2153" spans="5:11" x14ac:dyDescent="0.2">
      <c r="E2153" s="93"/>
      <c r="K2153" s="93"/>
    </row>
    <row r="2154" spans="5:11" x14ac:dyDescent="0.2">
      <c r="K2154" s="93"/>
    </row>
    <row r="2155" spans="5:11" x14ac:dyDescent="0.2">
      <c r="E2155" s="93"/>
      <c r="K2155" s="93"/>
    </row>
    <row r="2156" spans="5:11" x14ac:dyDescent="0.2">
      <c r="K2156" s="93"/>
    </row>
    <row r="2157" spans="5:11" x14ac:dyDescent="0.2">
      <c r="E2157" s="93"/>
      <c r="K2157" s="93"/>
    </row>
    <row r="2158" spans="5:11" x14ac:dyDescent="0.2">
      <c r="K2158" s="93"/>
    </row>
    <row r="2159" spans="5:11" x14ac:dyDescent="0.2">
      <c r="E2159" s="93"/>
      <c r="K2159" s="93"/>
    </row>
    <row r="2160" spans="5:11" x14ac:dyDescent="0.2">
      <c r="E2160" s="93"/>
      <c r="K2160" s="93"/>
    </row>
    <row r="2161" spans="5:11" x14ac:dyDescent="0.2">
      <c r="E2161" s="93"/>
      <c r="K2161" s="93"/>
    </row>
    <row r="2162" spans="5:11" x14ac:dyDescent="0.2">
      <c r="E2162" s="93"/>
      <c r="K2162" s="93"/>
    </row>
    <row r="2163" spans="5:11" x14ac:dyDescent="0.2">
      <c r="E2163" s="93"/>
      <c r="K2163" s="93"/>
    </row>
    <row r="2164" spans="5:11" x14ac:dyDescent="0.2">
      <c r="K2164" s="93"/>
    </row>
    <row r="2165" spans="5:11" x14ac:dyDescent="0.2">
      <c r="E2165" s="93"/>
      <c r="K2165" s="93"/>
    </row>
    <row r="2166" spans="5:11" x14ac:dyDescent="0.2">
      <c r="E2166" s="93"/>
      <c r="K2166" s="93"/>
    </row>
    <row r="2167" spans="5:11" x14ac:dyDescent="0.2">
      <c r="K2167" s="93"/>
    </row>
    <row r="2168" spans="5:11" x14ac:dyDescent="0.2">
      <c r="K2168" s="93"/>
    </row>
    <row r="2169" spans="5:11" x14ac:dyDescent="0.2">
      <c r="K2169" s="93"/>
    </row>
    <row r="2170" spans="5:11" x14ac:dyDescent="0.2">
      <c r="K2170" s="93"/>
    </row>
    <row r="2171" spans="5:11" x14ac:dyDescent="0.2">
      <c r="E2171" s="93"/>
      <c r="K2171" s="93"/>
    </row>
    <row r="2172" spans="5:11" x14ac:dyDescent="0.2">
      <c r="E2172" s="93"/>
      <c r="K2172" s="93"/>
    </row>
    <row r="2173" spans="5:11" x14ac:dyDescent="0.2">
      <c r="K2173" s="93"/>
    </row>
    <row r="2174" spans="5:11" x14ac:dyDescent="0.2">
      <c r="K2174" s="93"/>
    </row>
    <row r="2175" spans="5:11" x14ac:dyDescent="0.2">
      <c r="E2175" s="93"/>
      <c r="K2175" s="93"/>
    </row>
    <row r="2176" spans="5:11" x14ac:dyDescent="0.2">
      <c r="E2176" s="93"/>
      <c r="K2176" s="93"/>
    </row>
    <row r="2177" spans="5:11" x14ac:dyDescent="0.2">
      <c r="E2177" s="93"/>
      <c r="K2177" s="93"/>
    </row>
    <row r="2178" spans="5:11" x14ac:dyDescent="0.2">
      <c r="K2178" s="93"/>
    </row>
    <row r="2179" spans="5:11" x14ac:dyDescent="0.2">
      <c r="K2179" s="93"/>
    </row>
    <row r="2180" spans="5:11" x14ac:dyDescent="0.2">
      <c r="E2180" s="93"/>
      <c r="K2180" s="93"/>
    </row>
    <row r="2181" spans="5:11" x14ac:dyDescent="0.2">
      <c r="K2181" s="93"/>
    </row>
    <row r="2182" spans="5:11" x14ac:dyDescent="0.2">
      <c r="K2182" s="93"/>
    </row>
    <row r="2183" spans="5:11" x14ac:dyDescent="0.2">
      <c r="E2183" s="93"/>
      <c r="K2183" s="93"/>
    </row>
    <row r="2184" spans="5:11" x14ac:dyDescent="0.2">
      <c r="E2184" s="93"/>
      <c r="K2184" s="93"/>
    </row>
    <row r="2185" spans="5:11" x14ac:dyDescent="0.2">
      <c r="K2185" s="93"/>
    </row>
    <row r="2186" spans="5:11" x14ac:dyDescent="0.2">
      <c r="K2186" s="93"/>
    </row>
    <row r="2187" spans="5:11" x14ac:dyDescent="0.2">
      <c r="E2187" s="93"/>
      <c r="K2187" s="93"/>
    </row>
    <row r="2188" spans="5:11" x14ac:dyDescent="0.2">
      <c r="E2188" s="93"/>
      <c r="K2188" s="93"/>
    </row>
    <row r="2189" spans="5:11" x14ac:dyDescent="0.2">
      <c r="E2189" s="93"/>
      <c r="K2189" s="93"/>
    </row>
    <row r="2190" spans="5:11" x14ac:dyDescent="0.2">
      <c r="E2190" s="93"/>
      <c r="K2190" s="93"/>
    </row>
    <row r="2191" spans="5:11" x14ac:dyDescent="0.2">
      <c r="E2191" s="93"/>
      <c r="K2191" s="93"/>
    </row>
    <row r="2192" spans="5:11" x14ac:dyDescent="0.2">
      <c r="E2192" s="93"/>
      <c r="K2192" s="93"/>
    </row>
    <row r="2193" spans="5:11" x14ac:dyDescent="0.2">
      <c r="E2193" s="93"/>
      <c r="K2193" s="93"/>
    </row>
    <row r="2194" spans="5:11" x14ac:dyDescent="0.2">
      <c r="K2194" s="93"/>
    </row>
    <row r="2195" spans="5:11" x14ac:dyDescent="0.2">
      <c r="E2195" s="93"/>
      <c r="K2195" s="93"/>
    </row>
    <row r="2196" spans="5:11" x14ac:dyDescent="0.2">
      <c r="E2196" s="93"/>
      <c r="K2196" s="93"/>
    </row>
    <row r="2197" spans="5:11" x14ac:dyDescent="0.2">
      <c r="K2197" s="93"/>
    </row>
    <row r="2198" spans="5:11" x14ac:dyDescent="0.2">
      <c r="E2198" s="93"/>
      <c r="K2198" s="93"/>
    </row>
    <row r="2199" spans="5:11" x14ac:dyDescent="0.2">
      <c r="E2199" s="93"/>
      <c r="K2199" s="93"/>
    </row>
    <row r="2200" spans="5:11" x14ac:dyDescent="0.2">
      <c r="K2200" s="93"/>
    </row>
    <row r="2201" spans="5:11" x14ac:dyDescent="0.2">
      <c r="E2201" s="93"/>
      <c r="K2201" s="93"/>
    </row>
    <row r="2202" spans="5:11" x14ac:dyDescent="0.2">
      <c r="E2202" s="93"/>
      <c r="K2202" s="93"/>
    </row>
    <row r="2203" spans="5:11" x14ac:dyDescent="0.2">
      <c r="E2203" s="93"/>
      <c r="K2203" s="93"/>
    </row>
    <row r="2204" spans="5:11" x14ac:dyDescent="0.2">
      <c r="K2204" s="93"/>
    </row>
    <row r="2205" spans="5:11" x14ac:dyDescent="0.2">
      <c r="E2205" s="93"/>
      <c r="K2205" s="93"/>
    </row>
    <row r="2206" spans="5:11" x14ac:dyDescent="0.2">
      <c r="K2206" s="93"/>
    </row>
    <row r="2207" spans="5:11" x14ac:dyDescent="0.2">
      <c r="K2207" s="93"/>
    </row>
    <row r="2208" spans="5:11" x14ac:dyDescent="0.2">
      <c r="E2208" s="93"/>
      <c r="K2208" s="93"/>
    </row>
    <row r="2209" spans="5:11" x14ac:dyDescent="0.2">
      <c r="E2209" s="93"/>
      <c r="K2209" s="93"/>
    </row>
    <row r="2210" spans="5:11" x14ac:dyDescent="0.2">
      <c r="E2210" s="93"/>
      <c r="K2210" s="93"/>
    </row>
    <row r="2211" spans="5:11" x14ac:dyDescent="0.2">
      <c r="E2211" s="93"/>
      <c r="K2211" s="93"/>
    </row>
    <row r="2212" spans="5:11" x14ac:dyDescent="0.2">
      <c r="K2212" s="93"/>
    </row>
    <row r="2213" spans="5:11" x14ac:dyDescent="0.2">
      <c r="K2213" s="93"/>
    </row>
    <row r="2214" spans="5:11" x14ac:dyDescent="0.2">
      <c r="E2214" s="93"/>
      <c r="K2214" s="93"/>
    </row>
    <row r="2215" spans="5:11" x14ac:dyDescent="0.2">
      <c r="E2215" s="93"/>
      <c r="K2215" s="93"/>
    </row>
    <row r="2216" spans="5:11" x14ac:dyDescent="0.2">
      <c r="K2216" s="93"/>
    </row>
    <row r="2217" spans="5:11" x14ac:dyDescent="0.2">
      <c r="K2217" s="93"/>
    </row>
    <row r="2218" spans="5:11" x14ac:dyDescent="0.2">
      <c r="E2218" s="93"/>
      <c r="K2218" s="93"/>
    </row>
    <row r="2219" spans="5:11" x14ac:dyDescent="0.2">
      <c r="K2219" s="93"/>
    </row>
    <row r="2220" spans="5:11" x14ac:dyDescent="0.2">
      <c r="E2220" s="93"/>
      <c r="K2220" s="93"/>
    </row>
    <row r="2221" spans="5:11" x14ac:dyDescent="0.2">
      <c r="K2221" s="93"/>
    </row>
    <row r="2222" spans="5:11" x14ac:dyDescent="0.2">
      <c r="K2222" s="93"/>
    </row>
    <row r="2223" spans="5:11" x14ac:dyDescent="0.2">
      <c r="K2223" s="93"/>
    </row>
    <row r="2224" spans="5:11" x14ac:dyDescent="0.2">
      <c r="E2224" s="93"/>
      <c r="K2224" s="93"/>
    </row>
    <row r="2225" spans="5:11" x14ac:dyDescent="0.2">
      <c r="K2225" s="93"/>
    </row>
    <row r="2226" spans="5:11" x14ac:dyDescent="0.2">
      <c r="E2226" s="93"/>
      <c r="K2226" s="93"/>
    </row>
    <row r="2227" spans="5:11" x14ac:dyDescent="0.2">
      <c r="E2227" s="93"/>
      <c r="K2227" s="93"/>
    </row>
    <row r="2228" spans="5:11" x14ac:dyDescent="0.2">
      <c r="K2228" s="93"/>
    </row>
    <row r="2229" spans="5:11" x14ac:dyDescent="0.2">
      <c r="K2229" s="93"/>
    </row>
    <row r="2230" spans="5:11" x14ac:dyDescent="0.2">
      <c r="E2230" s="93"/>
      <c r="K2230" s="93"/>
    </row>
    <row r="2231" spans="5:11" x14ac:dyDescent="0.2">
      <c r="E2231" s="93"/>
      <c r="K2231" s="93"/>
    </row>
    <row r="2232" spans="5:11" x14ac:dyDescent="0.2">
      <c r="K2232" s="93"/>
    </row>
    <row r="2233" spans="5:11" x14ac:dyDescent="0.2">
      <c r="K2233" s="93"/>
    </row>
    <row r="2234" spans="5:11" x14ac:dyDescent="0.2">
      <c r="E2234" s="93"/>
      <c r="K2234" s="93"/>
    </row>
    <row r="2235" spans="5:11" x14ac:dyDescent="0.2">
      <c r="E2235" s="93"/>
      <c r="K2235" s="93"/>
    </row>
    <row r="2236" spans="5:11" x14ac:dyDescent="0.2">
      <c r="K2236" s="93"/>
    </row>
    <row r="2237" spans="5:11" x14ac:dyDescent="0.2">
      <c r="K2237" s="93"/>
    </row>
    <row r="2238" spans="5:11" x14ac:dyDescent="0.2">
      <c r="K2238" s="93"/>
    </row>
    <row r="2239" spans="5:11" x14ac:dyDescent="0.2">
      <c r="K2239" s="93"/>
    </row>
    <row r="2240" spans="5:11" x14ac:dyDescent="0.2">
      <c r="K2240" s="93"/>
    </row>
    <row r="2241" spans="5:11" x14ac:dyDescent="0.2">
      <c r="K2241" s="93"/>
    </row>
    <row r="2242" spans="5:11" x14ac:dyDescent="0.2">
      <c r="K2242" s="93"/>
    </row>
    <row r="2243" spans="5:11" x14ac:dyDescent="0.2">
      <c r="E2243" s="93"/>
      <c r="K2243" s="93"/>
    </row>
    <row r="2244" spans="5:11" x14ac:dyDescent="0.2">
      <c r="K2244" s="93"/>
    </row>
    <row r="2245" spans="5:11" x14ac:dyDescent="0.2">
      <c r="K2245" s="93"/>
    </row>
    <row r="2246" spans="5:11" x14ac:dyDescent="0.2">
      <c r="K2246" s="93"/>
    </row>
    <row r="2247" spans="5:11" x14ac:dyDescent="0.2">
      <c r="K2247" s="93"/>
    </row>
    <row r="2248" spans="5:11" x14ac:dyDescent="0.2">
      <c r="K2248" s="93"/>
    </row>
    <row r="2249" spans="5:11" x14ac:dyDescent="0.2">
      <c r="E2249" s="93"/>
      <c r="K2249" s="93"/>
    </row>
    <row r="2250" spans="5:11" x14ac:dyDescent="0.2">
      <c r="E2250" s="93"/>
      <c r="K2250" s="93"/>
    </row>
    <row r="2251" spans="5:11" x14ac:dyDescent="0.2">
      <c r="K2251" s="93"/>
    </row>
    <row r="2252" spans="5:11" x14ac:dyDescent="0.2">
      <c r="K2252" s="93"/>
    </row>
    <row r="2253" spans="5:11" x14ac:dyDescent="0.2">
      <c r="K2253" s="93"/>
    </row>
    <row r="2254" spans="5:11" x14ac:dyDescent="0.2">
      <c r="K2254" s="93"/>
    </row>
    <row r="2255" spans="5:11" x14ac:dyDescent="0.2">
      <c r="K2255" s="93"/>
    </row>
    <row r="2256" spans="5:11" x14ac:dyDescent="0.2">
      <c r="E2256" s="93"/>
      <c r="K2256" s="93"/>
    </row>
    <row r="2257" spans="5:11" x14ac:dyDescent="0.2">
      <c r="K2257" s="93"/>
    </row>
    <row r="2258" spans="5:11" x14ac:dyDescent="0.2">
      <c r="K2258" s="93"/>
    </row>
    <row r="2259" spans="5:11" x14ac:dyDescent="0.2">
      <c r="E2259" s="93"/>
      <c r="K2259" s="93"/>
    </row>
    <row r="2260" spans="5:11" x14ac:dyDescent="0.2">
      <c r="E2260" s="93"/>
      <c r="K2260" s="93"/>
    </row>
    <row r="2261" spans="5:11" x14ac:dyDescent="0.2">
      <c r="E2261" s="93"/>
      <c r="K2261" s="93"/>
    </row>
    <row r="2262" spans="5:11" x14ac:dyDescent="0.2">
      <c r="K2262" s="93"/>
    </row>
    <row r="2263" spans="5:11" x14ac:dyDescent="0.2">
      <c r="E2263" s="93"/>
      <c r="K2263" s="93"/>
    </row>
    <row r="2264" spans="5:11" x14ac:dyDescent="0.2">
      <c r="E2264" s="93"/>
      <c r="K2264" s="93"/>
    </row>
    <row r="2265" spans="5:11" x14ac:dyDescent="0.2">
      <c r="K2265" s="93"/>
    </row>
    <row r="2266" spans="5:11" x14ac:dyDescent="0.2">
      <c r="K2266" s="93"/>
    </row>
    <row r="2267" spans="5:11" x14ac:dyDescent="0.2">
      <c r="K2267" s="93"/>
    </row>
    <row r="2268" spans="5:11" x14ac:dyDescent="0.2">
      <c r="K2268" s="93"/>
    </row>
    <row r="2269" spans="5:11" x14ac:dyDescent="0.2">
      <c r="K2269" s="93"/>
    </row>
    <row r="2270" spans="5:11" x14ac:dyDescent="0.2">
      <c r="K2270" s="93"/>
    </row>
    <row r="2271" spans="5:11" x14ac:dyDescent="0.2">
      <c r="E2271" s="93"/>
      <c r="K2271" s="93"/>
    </row>
    <row r="2272" spans="5:11" x14ac:dyDescent="0.2">
      <c r="K2272" s="93"/>
    </row>
    <row r="2273" spans="5:11" x14ac:dyDescent="0.2">
      <c r="K2273" s="93"/>
    </row>
    <row r="2274" spans="5:11" x14ac:dyDescent="0.2">
      <c r="K2274" s="93"/>
    </row>
    <row r="2275" spans="5:11" x14ac:dyDescent="0.2">
      <c r="E2275" s="93"/>
      <c r="K2275" s="93"/>
    </row>
    <row r="2276" spans="5:11" x14ac:dyDescent="0.2">
      <c r="K2276" s="93"/>
    </row>
    <row r="2277" spans="5:11" x14ac:dyDescent="0.2">
      <c r="E2277" s="93"/>
      <c r="K2277" s="93"/>
    </row>
    <row r="2278" spans="5:11" x14ac:dyDescent="0.2">
      <c r="K2278" s="93"/>
    </row>
    <row r="2279" spans="5:11" x14ac:dyDescent="0.2">
      <c r="K2279" s="93"/>
    </row>
    <row r="2280" spans="5:11" x14ac:dyDescent="0.2">
      <c r="K2280" s="93"/>
    </row>
    <row r="2281" spans="5:11" x14ac:dyDescent="0.2">
      <c r="E2281" s="93"/>
      <c r="K2281" s="93"/>
    </row>
    <row r="2282" spans="5:11" x14ac:dyDescent="0.2">
      <c r="K2282" s="93"/>
    </row>
    <row r="2283" spans="5:11" x14ac:dyDescent="0.2">
      <c r="E2283" s="93"/>
      <c r="K2283" s="93"/>
    </row>
    <row r="2284" spans="5:11" x14ac:dyDescent="0.2">
      <c r="E2284" s="93"/>
      <c r="K2284" s="93"/>
    </row>
    <row r="2285" spans="5:11" x14ac:dyDescent="0.2">
      <c r="E2285" s="93"/>
      <c r="K2285" s="93"/>
    </row>
    <row r="2286" spans="5:11" x14ac:dyDescent="0.2">
      <c r="K2286" s="93"/>
    </row>
    <row r="2287" spans="5:11" x14ac:dyDescent="0.2">
      <c r="E2287" s="93"/>
      <c r="K2287" s="93"/>
    </row>
    <row r="2288" spans="5:11" x14ac:dyDescent="0.2">
      <c r="K2288" s="93"/>
    </row>
    <row r="2289" spans="5:11" x14ac:dyDescent="0.2">
      <c r="E2289" s="93"/>
      <c r="K2289" s="93"/>
    </row>
    <row r="2290" spans="5:11" x14ac:dyDescent="0.2">
      <c r="K2290" s="93"/>
    </row>
    <row r="2291" spans="5:11" x14ac:dyDescent="0.2">
      <c r="E2291" s="93"/>
      <c r="K2291" s="93"/>
    </row>
    <row r="2292" spans="5:11" x14ac:dyDescent="0.2">
      <c r="K2292" s="93"/>
    </row>
    <row r="2293" spans="5:11" x14ac:dyDescent="0.2">
      <c r="K2293" s="93"/>
    </row>
    <row r="2294" spans="5:11" x14ac:dyDescent="0.2">
      <c r="K2294" s="93"/>
    </row>
    <row r="2295" spans="5:11" x14ac:dyDescent="0.2">
      <c r="E2295" s="93"/>
      <c r="K2295" s="93"/>
    </row>
    <row r="2296" spans="5:11" x14ac:dyDescent="0.2">
      <c r="E2296" s="93"/>
      <c r="K2296" s="93"/>
    </row>
    <row r="2297" spans="5:11" x14ac:dyDescent="0.2">
      <c r="K2297" s="93"/>
    </row>
    <row r="2298" spans="5:11" x14ac:dyDescent="0.2">
      <c r="K2298" s="93"/>
    </row>
    <row r="2299" spans="5:11" x14ac:dyDescent="0.2">
      <c r="E2299" s="93"/>
      <c r="K2299" s="93"/>
    </row>
    <row r="2300" spans="5:11" x14ac:dyDescent="0.2">
      <c r="K2300" s="93"/>
    </row>
    <row r="2301" spans="5:11" x14ac:dyDescent="0.2">
      <c r="K2301" s="93"/>
    </row>
    <row r="2302" spans="5:11" x14ac:dyDescent="0.2">
      <c r="E2302" s="93"/>
      <c r="K2302" s="93"/>
    </row>
    <row r="2303" spans="5:11" x14ac:dyDescent="0.2">
      <c r="K2303" s="93"/>
    </row>
    <row r="2304" spans="5:11" x14ac:dyDescent="0.2">
      <c r="K2304" s="93"/>
    </row>
    <row r="2305" spans="5:11" x14ac:dyDescent="0.2">
      <c r="E2305" s="93"/>
      <c r="K2305" s="93"/>
    </row>
    <row r="2306" spans="5:11" x14ac:dyDescent="0.2">
      <c r="E2306" s="93"/>
      <c r="K2306" s="93"/>
    </row>
    <row r="2307" spans="5:11" x14ac:dyDescent="0.2">
      <c r="K2307" s="93"/>
    </row>
    <row r="2308" spans="5:11" x14ac:dyDescent="0.2">
      <c r="E2308" s="93"/>
      <c r="K2308" s="93"/>
    </row>
    <row r="2309" spans="5:11" x14ac:dyDescent="0.2">
      <c r="K2309" s="93"/>
    </row>
    <row r="2310" spans="5:11" x14ac:dyDescent="0.2">
      <c r="K2310" s="93"/>
    </row>
    <row r="2311" spans="5:11" x14ac:dyDescent="0.2">
      <c r="K2311" s="93"/>
    </row>
    <row r="2312" spans="5:11" x14ac:dyDescent="0.2">
      <c r="E2312" s="93"/>
      <c r="K2312" s="93"/>
    </row>
    <row r="2313" spans="5:11" x14ac:dyDescent="0.2">
      <c r="E2313" s="93"/>
      <c r="K2313" s="93"/>
    </row>
    <row r="2314" spans="5:11" x14ac:dyDescent="0.2">
      <c r="K2314" s="93"/>
    </row>
    <row r="2315" spans="5:11" x14ac:dyDescent="0.2">
      <c r="K2315" s="93"/>
    </row>
    <row r="2316" spans="5:11" x14ac:dyDescent="0.2">
      <c r="K2316" s="93"/>
    </row>
    <row r="2317" spans="5:11" x14ac:dyDescent="0.2">
      <c r="K2317" s="93"/>
    </row>
    <row r="2318" spans="5:11" x14ac:dyDescent="0.2">
      <c r="E2318" s="93"/>
      <c r="K2318" s="93"/>
    </row>
    <row r="2319" spans="5:11" x14ac:dyDescent="0.2">
      <c r="K2319" s="93"/>
    </row>
    <row r="2320" spans="5:11" x14ac:dyDescent="0.2">
      <c r="E2320" s="93"/>
      <c r="K2320" s="93"/>
    </row>
    <row r="2321" spans="5:11" x14ac:dyDescent="0.2">
      <c r="E2321" s="93"/>
      <c r="K2321" s="93"/>
    </row>
    <row r="2322" spans="5:11" x14ac:dyDescent="0.2">
      <c r="K2322" s="93"/>
    </row>
    <row r="2323" spans="5:11" x14ac:dyDescent="0.2">
      <c r="E2323" s="93"/>
      <c r="K2323" s="93"/>
    </row>
    <row r="2324" spans="5:11" x14ac:dyDescent="0.2">
      <c r="K2324" s="93"/>
    </row>
    <row r="2325" spans="5:11" x14ac:dyDescent="0.2">
      <c r="E2325" s="93"/>
      <c r="K2325" s="93"/>
    </row>
    <row r="2326" spans="5:11" x14ac:dyDescent="0.2">
      <c r="K2326" s="93"/>
    </row>
    <row r="2327" spans="5:11" x14ac:dyDescent="0.2">
      <c r="E2327" s="93"/>
      <c r="K2327" s="93"/>
    </row>
    <row r="2328" spans="5:11" x14ac:dyDescent="0.2">
      <c r="K2328" s="93"/>
    </row>
    <row r="2329" spans="5:11" x14ac:dyDescent="0.2">
      <c r="K2329" s="93"/>
    </row>
    <row r="2330" spans="5:11" x14ac:dyDescent="0.2">
      <c r="K2330" s="93"/>
    </row>
    <row r="2331" spans="5:11" x14ac:dyDescent="0.2">
      <c r="E2331" s="93"/>
      <c r="K2331" s="93"/>
    </row>
    <row r="2332" spans="5:11" x14ac:dyDescent="0.2">
      <c r="K2332" s="93"/>
    </row>
    <row r="2333" spans="5:11" x14ac:dyDescent="0.2">
      <c r="E2333" s="93"/>
      <c r="K2333" s="93"/>
    </row>
    <row r="2334" spans="5:11" x14ac:dyDescent="0.2">
      <c r="E2334" s="93"/>
      <c r="K2334" s="93"/>
    </row>
    <row r="2335" spans="5:11" x14ac:dyDescent="0.2">
      <c r="K2335" s="93"/>
    </row>
    <row r="2336" spans="5:11" x14ac:dyDescent="0.2">
      <c r="E2336" s="93"/>
      <c r="K2336" s="93"/>
    </row>
    <row r="2337" spans="5:11" x14ac:dyDescent="0.2">
      <c r="K2337" s="93"/>
    </row>
    <row r="2338" spans="5:11" x14ac:dyDescent="0.2">
      <c r="K2338" s="93"/>
    </row>
    <row r="2339" spans="5:11" x14ac:dyDescent="0.2">
      <c r="K2339" s="93"/>
    </row>
    <row r="2340" spans="5:11" x14ac:dyDescent="0.2">
      <c r="K2340" s="93"/>
    </row>
    <row r="2341" spans="5:11" x14ac:dyDescent="0.2">
      <c r="E2341" s="93"/>
      <c r="K2341" s="93"/>
    </row>
    <row r="2342" spans="5:11" x14ac:dyDescent="0.2">
      <c r="E2342" s="93"/>
      <c r="K2342" s="93"/>
    </row>
    <row r="2343" spans="5:11" x14ac:dyDescent="0.2">
      <c r="E2343" s="93"/>
      <c r="K2343" s="93"/>
    </row>
    <row r="2344" spans="5:11" x14ac:dyDescent="0.2">
      <c r="K2344" s="93"/>
    </row>
    <row r="2345" spans="5:11" x14ac:dyDescent="0.2">
      <c r="K2345" s="93"/>
    </row>
    <row r="2346" spans="5:11" x14ac:dyDescent="0.2">
      <c r="K2346" s="93"/>
    </row>
    <row r="2347" spans="5:11" x14ac:dyDescent="0.2">
      <c r="K2347" s="93"/>
    </row>
    <row r="2348" spans="5:11" x14ac:dyDescent="0.2">
      <c r="E2348" s="93"/>
      <c r="K2348" s="93"/>
    </row>
    <row r="2349" spans="5:11" x14ac:dyDescent="0.2">
      <c r="E2349" s="93"/>
      <c r="K2349" s="93"/>
    </row>
    <row r="2350" spans="5:11" x14ac:dyDescent="0.2">
      <c r="K2350" s="93"/>
    </row>
    <row r="2351" spans="5:11" x14ac:dyDescent="0.2">
      <c r="E2351" s="93"/>
      <c r="K2351" s="93"/>
    </row>
    <row r="2352" spans="5:11" x14ac:dyDescent="0.2">
      <c r="K2352" s="93"/>
    </row>
    <row r="2353" spans="5:11" x14ac:dyDescent="0.2">
      <c r="K2353" s="93"/>
    </row>
    <row r="2354" spans="5:11" x14ac:dyDescent="0.2">
      <c r="K2354" s="93"/>
    </row>
    <row r="2355" spans="5:11" x14ac:dyDescent="0.2">
      <c r="E2355" s="93"/>
      <c r="K2355" s="93"/>
    </row>
    <row r="2356" spans="5:11" x14ac:dyDescent="0.2">
      <c r="K2356" s="93"/>
    </row>
    <row r="2357" spans="5:11" x14ac:dyDescent="0.2">
      <c r="E2357" s="93"/>
      <c r="K2357" s="93"/>
    </row>
    <row r="2358" spans="5:11" x14ac:dyDescent="0.2">
      <c r="K2358" s="93"/>
    </row>
    <row r="2359" spans="5:11" x14ac:dyDescent="0.2">
      <c r="K2359" s="93"/>
    </row>
    <row r="2360" spans="5:11" x14ac:dyDescent="0.2">
      <c r="K2360" s="93"/>
    </row>
    <row r="2361" spans="5:11" x14ac:dyDescent="0.2">
      <c r="K2361" s="93"/>
    </row>
    <row r="2362" spans="5:11" x14ac:dyDescent="0.2">
      <c r="K2362" s="93"/>
    </row>
    <row r="2363" spans="5:11" x14ac:dyDescent="0.2">
      <c r="E2363" s="93"/>
      <c r="K2363" s="93"/>
    </row>
    <row r="2364" spans="5:11" x14ac:dyDescent="0.2">
      <c r="K2364" s="93"/>
    </row>
    <row r="2365" spans="5:11" x14ac:dyDescent="0.2">
      <c r="E2365" s="93"/>
      <c r="K2365" s="93"/>
    </row>
    <row r="2366" spans="5:11" x14ac:dyDescent="0.2">
      <c r="K2366" s="93"/>
    </row>
    <row r="2367" spans="5:11" x14ac:dyDescent="0.2">
      <c r="K2367" s="93"/>
    </row>
    <row r="2368" spans="5:11" x14ac:dyDescent="0.2">
      <c r="K2368" s="93"/>
    </row>
    <row r="2369" spans="5:11" x14ac:dyDescent="0.2">
      <c r="K2369" s="93"/>
    </row>
    <row r="2370" spans="5:11" x14ac:dyDescent="0.2">
      <c r="K2370" s="93"/>
    </row>
    <row r="2371" spans="5:11" x14ac:dyDescent="0.2">
      <c r="K2371" s="93"/>
    </row>
    <row r="2372" spans="5:11" x14ac:dyDescent="0.2">
      <c r="K2372" s="93"/>
    </row>
    <row r="2373" spans="5:11" x14ac:dyDescent="0.2">
      <c r="E2373" s="93"/>
      <c r="K2373" s="93"/>
    </row>
    <row r="2374" spans="5:11" x14ac:dyDescent="0.2">
      <c r="K2374" s="93"/>
    </row>
    <row r="2375" spans="5:11" x14ac:dyDescent="0.2">
      <c r="K2375" s="93"/>
    </row>
    <row r="2376" spans="5:11" x14ac:dyDescent="0.2">
      <c r="K2376" s="93"/>
    </row>
    <row r="2377" spans="5:11" x14ac:dyDescent="0.2">
      <c r="E2377" s="93"/>
      <c r="K2377" s="93"/>
    </row>
    <row r="2378" spans="5:11" x14ac:dyDescent="0.2">
      <c r="K2378" s="93"/>
    </row>
    <row r="2379" spans="5:11" x14ac:dyDescent="0.2">
      <c r="K2379" s="93"/>
    </row>
    <row r="2380" spans="5:11" x14ac:dyDescent="0.2">
      <c r="E2380" s="93"/>
      <c r="K2380" s="93"/>
    </row>
    <row r="2381" spans="5:11" x14ac:dyDescent="0.2">
      <c r="K2381" s="93"/>
    </row>
    <row r="2382" spans="5:11" x14ac:dyDescent="0.2">
      <c r="K2382" s="93"/>
    </row>
    <row r="2383" spans="5:11" x14ac:dyDescent="0.2">
      <c r="E2383" s="93"/>
      <c r="K2383" s="93"/>
    </row>
    <row r="2384" spans="5:11" x14ac:dyDescent="0.2">
      <c r="E2384" s="93"/>
      <c r="K2384" s="93"/>
    </row>
    <row r="2385" spans="5:11" x14ac:dyDescent="0.2">
      <c r="K2385" s="93"/>
    </row>
    <row r="2386" spans="5:11" x14ac:dyDescent="0.2">
      <c r="K2386" s="93"/>
    </row>
    <row r="2387" spans="5:11" x14ac:dyDescent="0.2">
      <c r="K2387" s="93"/>
    </row>
    <row r="2388" spans="5:11" x14ac:dyDescent="0.2">
      <c r="K2388" s="93"/>
    </row>
    <row r="2389" spans="5:11" x14ac:dyDescent="0.2">
      <c r="E2389" s="93"/>
      <c r="K2389" s="93"/>
    </row>
    <row r="2390" spans="5:11" x14ac:dyDescent="0.2">
      <c r="K2390" s="93"/>
    </row>
    <row r="2391" spans="5:11" x14ac:dyDescent="0.2">
      <c r="K2391" s="93"/>
    </row>
    <row r="2392" spans="5:11" x14ac:dyDescent="0.2">
      <c r="K2392" s="93"/>
    </row>
    <row r="2393" spans="5:11" x14ac:dyDescent="0.2">
      <c r="E2393" s="93"/>
      <c r="K2393" s="93"/>
    </row>
    <row r="2394" spans="5:11" x14ac:dyDescent="0.2">
      <c r="K2394" s="93"/>
    </row>
    <row r="2395" spans="5:11" x14ac:dyDescent="0.2">
      <c r="E2395" s="93"/>
      <c r="K2395" s="93"/>
    </row>
    <row r="2396" spans="5:11" x14ac:dyDescent="0.2">
      <c r="K2396" s="93"/>
    </row>
    <row r="2397" spans="5:11" x14ac:dyDescent="0.2">
      <c r="K2397" s="93"/>
    </row>
    <row r="2398" spans="5:11" x14ac:dyDescent="0.2">
      <c r="K2398" s="93"/>
    </row>
    <row r="2399" spans="5:11" x14ac:dyDescent="0.2">
      <c r="K2399" s="93"/>
    </row>
    <row r="2400" spans="5:11" x14ac:dyDescent="0.2">
      <c r="K2400" s="93"/>
    </row>
    <row r="2401" spans="5:11" x14ac:dyDescent="0.2">
      <c r="K2401" s="93"/>
    </row>
    <row r="2402" spans="5:11" x14ac:dyDescent="0.2">
      <c r="E2402" s="93"/>
      <c r="K2402" s="93"/>
    </row>
    <row r="2403" spans="5:11" x14ac:dyDescent="0.2">
      <c r="K2403" s="93"/>
    </row>
    <row r="2404" spans="5:11" x14ac:dyDescent="0.2">
      <c r="K2404" s="93"/>
    </row>
    <row r="2405" spans="5:11" x14ac:dyDescent="0.2">
      <c r="K2405" s="93"/>
    </row>
    <row r="2406" spans="5:11" x14ac:dyDescent="0.2">
      <c r="K2406" s="93"/>
    </row>
    <row r="2407" spans="5:11" x14ac:dyDescent="0.2">
      <c r="E2407" s="93"/>
      <c r="K2407" s="93"/>
    </row>
    <row r="2408" spans="5:11" x14ac:dyDescent="0.2">
      <c r="E2408" s="93"/>
      <c r="K2408" s="93"/>
    </row>
    <row r="2409" spans="5:11" x14ac:dyDescent="0.2">
      <c r="K2409" s="93"/>
    </row>
    <row r="2410" spans="5:11" x14ac:dyDescent="0.2">
      <c r="E2410" s="93"/>
      <c r="K2410" s="93"/>
    </row>
    <row r="2411" spans="5:11" x14ac:dyDescent="0.2">
      <c r="K2411" s="93"/>
    </row>
    <row r="2412" spans="5:11" x14ac:dyDescent="0.2">
      <c r="K2412" s="93"/>
    </row>
    <row r="2413" spans="5:11" x14ac:dyDescent="0.2">
      <c r="E2413" s="93"/>
      <c r="K2413" s="93"/>
    </row>
    <row r="2414" spans="5:11" x14ac:dyDescent="0.2">
      <c r="E2414" s="93"/>
      <c r="K2414" s="93"/>
    </row>
    <row r="2415" spans="5:11" x14ac:dyDescent="0.2">
      <c r="K2415" s="93"/>
    </row>
    <row r="2416" spans="5:11" x14ac:dyDescent="0.2">
      <c r="K2416" s="93"/>
    </row>
    <row r="2417" spans="5:11" x14ac:dyDescent="0.2">
      <c r="K2417" s="93"/>
    </row>
    <row r="2418" spans="5:11" x14ac:dyDescent="0.2">
      <c r="E2418" s="93"/>
      <c r="K2418" s="93"/>
    </row>
    <row r="2419" spans="5:11" x14ac:dyDescent="0.2">
      <c r="K2419" s="93"/>
    </row>
    <row r="2420" spans="5:11" x14ac:dyDescent="0.2">
      <c r="K2420" s="93"/>
    </row>
    <row r="2421" spans="5:11" x14ac:dyDescent="0.2">
      <c r="K2421" s="93"/>
    </row>
    <row r="2422" spans="5:11" x14ac:dyDescent="0.2">
      <c r="K2422" s="93"/>
    </row>
    <row r="2423" spans="5:11" x14ac:dyDescent="0.2">
      <c r="E2423" s="93"/>
      <c r="K2423" s="93"/>
    </row>
    <row r="2424" spans="5:11" x14ac:dyDescent="0.2">
      <c r="K2424" s="93"/>
    </row>
    <row r="2425" spans="5:11" x14ac:dyDescent="0.2">
      <c r="E2425" s="93"/>
      <c r="K2425" s="93"/>
    </row>
    <row r="2426" spans="5:11" x14ac:dyDescent="0.2">
      <c r="K2426" s="93"/>
    </row>
    <row r="2427" spans="5:11" x14ac:dyDescent="0.2">
      <c r="K2427" s="93"/>
    </row>
    <row r="2428" spans="5:11" x14ac:dyDescent="0.2">
      <c r="K2428" s="93"/>
    </row>
    <row r="2429" spans="5:11" x14ac:dyDescent="0.2">
      <c r="K2429" s="93"/>
    </row>
    <row r="2430" spans="5:11" x14ac:dyDescent="0.2">
      <c r="E2430" s="93"/>
      <c r="K2430" s="93"/>
    </row>
    <row r="2431" spans="5:11" x14ac:dyDescent="0.2">
      <c r="K2431" s="93"/>
    </row>
    <row r="2432" spans="5:11" x14ac:dyDescent="0.2">
      <c r="K2432" s="93"/>
    </row>
    <row r="2433" spans="5:11" x14ac:dyDescent="0.2">
      <c r="K2433" s="93"/>
    </row>
    <row r="2434" spans="5:11" x14ac:dyDescent="0.2">
      <c r="E2434" s="93"/>
      <c r="K2434" s="93"/>
    </row>
    <row r="2435" spans="5:11" x14ac:dyDescent="0.2">
      <c r="E2435" s="93"/>
      <c r="K2435" s="93"/>
    </row>
    <row r="2436" spans="5:11" x14ac:dyDescent="0.2">
      <c r="K2436" s="93"/>
    </row>
    <row r="2437" spans="5:11" x14ac:dyDescent="0.2">
      <c r="E2437" s="93"/>
      <c r="K2437" s="93"/>
    </row>
    <row r="2438" spans="5:11" x14ac:dyDescent="0.2">
      <c r="K2438" s="93"/>
    </row>
    <row r="2439" spans="5:11" x14ac:dyDescent="0.2">
      <c r="E2439" s="93"/>
      <c r="K2439" s="93"/>
    </row>
    <row r="2440" spans="5:11" x14ac:dyDescent="0.2">
      <c r="E2440" s="93"/>
      <c r="K2440" s="93"/>
    </row>
    <row r="2441" spans="5:11" x14ac:dyDescent="0.2">
      <c r="E2441" s="93"/>
      <c r="K2441" s="93"/>
    </row>
    <row r="2442" spans="5:11" x14ac:dyDescent="0.2">
      <c r="E2442" s="93"/>
      <c r="K2442" s="93"/>
    </row>
    <row r="2443" spans="5:11" x14ac:dyDescent="0.2">
      <c r="K2443" s="93"/>
    </row>
    <row r="2444" spans="5:11" x14ac:dyDescent="0.2">
      <c r="K2444" s="93"/>
    </row>
    <row r="2445" spans="5:11" x14ac:dyDescent="0.2">
      <c r="K2445" s="93"/>
    </row>
    <row r="2446" spans="5:11" x14ac:dyDescent="0.2">
      <c r="E2446" s="93"/>
      <c r="K2446" s="93"/>
    </row>
    <row r="2447" spans="5:11" x14ac:dyDescent="0.2">
      <c r="E2447" s="93"/>
      <c r="K2447" s="93"/>
    </row>
    <row r="2448" spans="5:11" x14ac:dyDescent="0.2">
      <c r="K2448" s="93"/>
    </row>
    <row r="2449" spans="5:11" x14ac:dyDescent="0.2">
      <c r="E2449" s="93"/>
      <c r="K2449" s="93"/>
    </row>
    <row r="2450" spans="5:11" x14ac:dyDescent="0.2">
      <c r="K2450" s="93"/>
    </row>
    <row r="2451" spans="5:11" x14ac:dyDescent="0.2">
      <c r="E2451" s="93"/>
      <c r="K2451" s="93"/>
    </row>
    <row r="2452" spans="5:11" x14ac:dyDescent="0.2">
      <c r="K2452" s="93"/>
    </row>
    <row r="2453" spans="5:11" x14ac:dyDescent="0.2">
      <c r="E2453" s="93"/>
      <c r="K2453" s="93"/>
    </row>
    <row r="2454" spans="5:11" x14ac:dyDescent="0.2">
      <c r="E2454" s="93"/>
      <c r="K2454" s="93"/>
    </row>
    <row r="2455" spans="5:11" x14ac:dyDescent="0.2">
      <c r="K2455" s="93"/>
    </row>
    <row r="2456" spans="5:11" x14ac:dyDescent="0.2">
      <c r="E2456" s="93"/>
      <c r="K2456" s="93"/>
    </row>
    <row r="2457" spans="5:11" x14ac:dyDescent="0.2">
      <c r="E2457" s="93"/>
      <c r="K2457" s="93"/>
    </row>
    <row r="2458" spans="5:11" x14ac:dyDescent="0.2">
      <c r="K2458" s="93"/>
    </row>
    <row r="2459" spans="5:11" x14ac:dyDescent="0.2">
      <c r="K2459" s="93"/>
    </row>
    <row r="2460" spans="5:11" x14ac:dyDescent="0.2">
      <c r="E2460" s="93"/>
      <c r="K2460" s="93"/>
    </row>
    <row r="2461" spans="5:11" x14ac:dyDescent="0.2">
      <c r="K2461" s="93"/>
    </row>
    <row r="2462" spans="5:11" x14ac:dyDescent="0.2">
      <c r="E2462" s="93"/>
      <c r="K2462" s="93"/>
    </row>
    <row r="2463" spans="5:11" x14ac:dyDescent="0.2">
      <c r="E2463" s="93"/>
      <c r="K2463" s="93"/>
    </row>
    <row r="2464" spans="5:11" x14ac:dyDescent="0.2">
      <c r="K2464" s="93"/>
    </row>
    <row r="2465" spans="5:11" x14ac:dyDescent="0.2">
      <c r="K2465" s="93"/>
    </row>
    <row r="2466" spans="5:11" x14ac:dyDescent="0.2">
      <c r="E2466" s="93"/>
      <c r="K2466" s="93"/>
    </row>
    <row r="2467" spans="5:11" x14ac:dyDescent="0.2">
      <c r="K2467" s="93"/>
    </row>
    <row r="2468" spans="5:11" x14ac:dyDescent="0.2">
      <c r="K2468" s="93"/>
    </row>
    <row r="2469" spans="5:11" x14ac:dyDescent="0.2">
      <c r="K2469" s="93"/>
    </row>
    <row r="2470" spans="5:11" x14ac:dyDescent="0.2">
      <c r="E2470" s="93"/>
      <c r="K2470" s="93"/>
    </row>
    <row r="2471" spans="5:11" x14ac:dyDescent="0.2">
      <c r="E2471" s="93"/>
      <c r="K2471" s="93"/>
    </row>
    <row r="2472" spans="5:11" x14ac:dyDescent="0.2">
      <c r="E2472" s="93"/>
      <c r="K2472" s="93"/>
    </row>
    <row r="2473" spans="5:11" x14ac:dyDescent="0.2">
      <c r="K2473" s="93"/>
    </row>
    <row r="2474" spans="5:11" x14ac:dyDescent="0.2">
      <c r="K2474" s="93"/>
    </row>
    <row r="2475" spans="5:11" x14ac:dyDescent="0.2">
      <c r="K2475" s="93"/>
    </row>
    <row r="2476" spans="5:11" x14ac:dyDescent="0.2">
      <c r="E2476" s="93"/>
      <c r="K2476" s="93"/>
    </row>
    <row r="2477" spans="5:11" x14ac:dyDescent="0.2">
      <c r="K2477" s="93"/>
    </row>
    <row r="2478" spans="5:11" x14ac:dyDescent="0.2">
      <c r="K2478" s="93"/>
    </row>
    <row r="2479" spans="5:11" x14ac:dyDescent="0.2">
      <c r="K2479" s="93"/>
    </row>
    <row r="2480" spans="5:11" x14ac:dyDescent="0.2">
      <c r="E2480" s="93"/>
      <c r="K2480" s="93"/>
    </row>
    <row r="2481" spans="5:11" x14ac:dyDescent="0.2">
      <c r="K2481" s="93"/>
    </row>
    <row r="2482" spans="5:11" x14ac:dyDescent="0.2">
      <c r="K2482" s="93"/>
    </row>
    <row r="2483" spans="5:11" x14ac:dyDescent="0.2">
      <c r="K2483" s="93"/>
    </row>
    <row r="2484" spans="5:11" x14ac:dyDescent="0.2">
      <c r="K2484" s="93"/>
    </row>
    <row r="2485" spans="5:11" x14ac:dyDescent="0.2">
      <c r="E2485" s="93"/>
      <c r="K2485" s="93"/>
    </row>
    <row r="2486" spans="5:11" x14ac:dyDescent="0.2">
      <c r="K2486" s="93"/>
    </row>
    <row r="2487" spans="5:11" x14ac:dyDescent="0.2">
      <c r="K2487" s="93"/>
    </row>
    <row r="2488" spans="5:11" x14ac:dyDescent="0.2">
      <c r="K2488" s="93"/>
    </row>
    <row r="2489" spans="5:11" x14ac:dyDescent="0.2">
      <c r="K2489" s="93"/>
    </row>
    <row r="2490" spans="5:11" x14ac:dyDescent="0.2">
      <c r="K2490" s="93"/>
    </row>
    <row r="2491" spans="5:11" x14ac:dyDescent="0.2">
      <c r="K2491" s="93"/>
    </row>
    <row r="2492" spans="5:11" x14ac:dyDescent="0.2">
      <c r="K2492" s="93"/>
    </row>
    <row r="2493" spans="5:11" x14ac:dyDescent="0.2">
      <c r="K2493" s="93"/>
    </row>
    <row r="2494" spans="5:11" x14ac:dyDescent="0.2">
      <c r="K2494" s="93"/>
    </row>
    <row r="2495" spans="5:11" x14ac:dyDescent="0.2">
      <c r="K2495" s="93"/>
    </row>
    <row r="2496" spans="5:11" x14ac:dyDescent="0.2">
      <c r="E2496" s="93"/>
      <c r="K2496" s="93"/>
    </row>
    <row r="2497" spans="5:11" x14ac:dyDescent="0.2">
      <c r="K2497" s="93"/>
    </row>
    <row r="2498" spans="5:11" x14ac:dyDescent="0.2">
      <c r="E2498" s="93"/>
      <c r="K2498" s="93"/>
    </row>
    <row r="2499" spans="5:11" x14ac:dyDescent="0.2">
      <c r="E2499" s="93"/>
      <c r="K2499" s="93"/>
    </row>
    <row r="2500" spans="5:11" x14ac:dyDescent="0.2">
      <c r="E2500" s="93"/>
      <c r="K2500" s="93"/>
    </row>
    <row r="2501" spans="5:11" x14ac:dyDescent="0.2">
      <c r="E2501" s="93"/>
      <c r="K2501" s="93"/>
    </row>
    <row r="2502" spans="5:11" x14ac:dyDescent="0.2">
      <c r="K2502" s="93"/>
    </row>
    <row r="2503" spans="5:11" x14ac:dyDescent="0.2">
      <c r="K2503" s="93"/>
    </row>
    <row r="2504" spans="5:11" x14ac:dyDescent="0.2">
      <c r="K2504" s="93"/>
    </row>
    <row r="2505" spans="5:11" x14ac:dyDescent="0.2">
      <c r="K2505" s="93"/>
    </row>
    <row r="2506" spans="5:11" x14ac:dyDescent="0.2">
      <c r="E2506" s="93"/>
      <c r="K2506" s="93"/>
    </row>
    <row r="2507" spans="5:11" x14ac:dyDescent="0.2">
      <c r="E2507" s="93"/>
      <c r="K2507" s="93"/>
    </row>
    <row r="2508" spans="5:11" x14ac:dyDescent="0.2">
      <c r="K2508" s="93"/>
    </row>
    <row r="2509" spans="5:11" x14ac:dyDescent="0.2">
      <c r="K2509" s="93"/>
    </row>
    <row r="2510" spans="5:11" x14ac:dyDescent="0.2">
      <c r="K2510" s="93"/>
    </row>
    <row r="2511" spans="5:11" x14ac:dyDescent="0.2">
      <c r="K2511" s="93"/>
    </row>
    <row r="2512" spans="5:11" x14ac:dyDescent="0.2">
      <c r="K2512" s="93"/>
    </row>
    <row r="2513" spans="5:11" x14ac:dyDescent="0.2">
      <c r="K2513" s="93"/>
    </row>
    <row r="2514" spans="5:11" x14ac:dyDescent="0.2">
      <c r="K2514" s="93"/>
    </row>
    <row r="2515" spans="5:11" x14ac:dyDescent="0.2">
      <c r="K2515" s="93"/>
    </row>
    <row r="2516" spans="5:11" x14ac:dyDescent="0.2">
      <c r="K2516" s="93"/>
    </row>
    <row r="2517" spans="5:11" x14ac:dyDescent="0.2">
      <c r="K2517" s="93"/>
    </row>
    <row r="2518" spans="5:11" x14ac:dyDescent="0.2">
      <c r="E2518" s="93"/>
      <c r="K2518" s="93"/>
    </row>
    <row r="2519" spans="5:11" x14ac:dyDescent="0.2">
      <c r="K2519" s="93"/>
    </row>
    <row r="2520" spans="5:11" x14ac:dyDescent="0.2">
      <c r="K2520" s="93"/>
    </row>
    <row r="2521" spans="5:11" x14ac:dyDescent="0.2">
      <c r="K2521" s="93"/>
    </row>
    <row r="2522" spans="5:11" x14ac:dyDescent="0.2">
      <c r="E2522" s="93"/>
      <c r="K2522" s="93"/>
    </row>
    <row r="2523" spans="5:11" x14ac:dyDescent="0.2">
      <c r="E2523" s="93"/>
      <c r="K2523" s="93"/>
    </row>
    <row r="2524" spans="5:11" x14ac:dyDescent="0.2">
      <c r="K2524" s="93"/>
    </row>
    <row r="2525" spans="5:11" x14ac:dyDescent="0.2">
      <c r="K2525" s="93"/>
    </row>
    <row r="2526" spans="5:11" x14ac:dyDescent="0.2">
      <c r="K2526" s="93"/>
    </row>
    <row r="2527" spans="5:11" x14ac:dyDescent="0.2">
      <c r="E2527" s="93"/>
      <c r="K2527" s="93"/>
    </row>
    <row r="2528" spans="5:11" x14ac:dyDescent="0.2">
      <c r="K2528" s="93"/>
    </row>
    <row r="2529" spans="5:11" x14ac:dyDescent="0.2">
      <c r="K2529" s="93"/>
    </row>
    <row r="2530" spans="5:11" x14ac:dyDescent="0.2">
      <c r="E2530" s="93"/>
      <c r="K2530" s="93"/>
    </row>
    <row r="2531" spans="5:11" x14ac:dyDescent="0.2">
      <c r="E2531" s="93"/>
      <c r="K2531" s="93"/>
    </row>
    <row r="2532" spans="5:11" x14ac:dyDescent="0.2">
      <c r="K2532" s="93"/>
    </row>
    <row r="2533" spans="5:11" x14ac:dyDescent="0.2">
      <c r="K2533" s="93"/>
    </row>
    <row r="2534" spans="5:11" x14ac:dyDescent="0.2">
      <c r="K2534" s="93"/>
    </row>
    <row r="2535" spans="5:11" x14ac:dyDescent="0.2">
      <c r="K2535" s="93"/>
    </row>
    <row r="2536" spans="5:11" x14ac:dyDescent="0.2">
      <c r="K2536" s="93"/>
    </row>
    <row r="2537" spans="5:11" x14ac:dyDescent="0.2">
      <c r="K2537" s="93"/>
    </row>
    <row r="2538" spans="5:11" x14ac:dyDescent="0.2">
      <c r="E2538" s="93"/>
      <c r="K2538" s="93"/>
    </row>
    <row r="2539" spans="5:11" x14ac:dyDescent="0.2">
      <c r="K2539" s="93"/>
    </row>
    <row r="2540" spans="5:11" x14ac:dyDescent="0.2">
      <c r="K2540" s="93"/>
    </row>
    <row r="2541" spans="5:11" x14ac:dyDescent="0.2">
      <c r="K2541" s="93"/>
    </row>
    <row r="2542" spans="5:11" x14ac:dyDescent="0.2">
      <c r="K2542" s="93"/>
    </row>
    <row r="2543" spans="5:11" x14ac:dyDescent="0.2">
      <c r="K2543" s="93"/>
    </row>
    <row r="2544" spans="5:11" x14ac:dyDescent="0.2">
      <c r="K2544" s="93"/>
    </row>
    <row r="2545" spans="5:11" x14ac:dyDescent="0.2">
      <c r="E2545" s="93"/>
      <c r="K2545" s="93"/>
    </row>
    <row r="2546" spans="5:11" x14ac:dyDescent="0.2">
      <c r="K2546" s="93"/>
    </row>
    <row r="2547" spans="5:11" x14ac:dyDescent="0.2">
      <c r="E2547" s="93"/>
      <c r="K2547" s="93"/>
    </row>
    <row r="2548" spans="5:11" x14ac:dyDescent="0.2">
      <c r="K2548" s="93"/>
    </row>
    <row r="2549" spans="5:11" x14ac:dyDescent="0.2">
      <c r="E2549" s="93"/>
      <c r="K2549" s="93"/>
    </row>
    <row r="2550" spans="5:11" x14ac:dyDescent="0.2">
      <c r="K2550" s="93"/>
    </row>
    <row r="2551" spans="5:11" x14ac:dyDescent="0.2">
      <c r="E2551" s="93"/>
      <c r="K2551" s="93"/>
    </row>
    <row r="2552" spans="5:11" x14ac:dyDescent="0.2">
      <c r="K2552" s="93"/>
    </row>
    <row r="2553" spans="5:11" x14ac:dyDescent="0.2">
      <c r="K2553" s="93"/>
    </row>
    <row r="2554" spans="5:11" x14ac:dyDescent="0.2">
      <c r="K2554" s="93"/>
    </row>
    <row r="2555" spans="5:11" x14ac:dyDescent="0.2">
      <c r="E2555" s="93"/>
      <c r="K2555" s="93"/>
    </row>
    <row r="2556" spans="5:11" x14ac:dyDescent="0.2">
      <c r="K2556" s="93"/>
    </row>
    <row r="2557" spans="5:11" x14ac:dyDescent="0.2">
      <c r="E2557" s="93"/>
      <c r="K2557" s="93"/>
    </row>
    <row r="2558" spans="5:11" x14ac:dyDescent="0.2">
      <c r="K2558" s="93"/>
    </row>
    <row r="2559" spans="5:11" x14ac:dyDescent="0.2">
      <c r="E2559" s="93"/>
      <c r="K2559" s="93"/>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S496"/>
  <sheetViews>
    <sheetView workbookViewId="0">
      <pane ySplit="2" topLeftCell="A3" activePane="bottomLeft" state="frozen"/>
      <selection pane="bottomLeft" activeCell="D17" sqref="D17"/>
    </sheetView>
  </sheetViews>
  <sheetFormatPr defaultColWidth="12.5703125" defaultRowHeight="15.75" customHeight="1" x14ac:dyDescent="0.2"/>
  <cols>
    <col min="1" max="1" width="28.28515625" customWidth="1"/>
    <col min="2" max="2" width="17.140625" bestFit="1" customWidth="1"/>
    <col min="3" max="3" width="15.5703125" bestFit="1" customWidth="1"/>
    <col min="4" max="4" width="46.7109375" customWidth="1"/>
    <col min="8" max="8" width="2.7109375" customWidth="1"/>
    <col min="9" max="9" width="39.85546875" customWidth="1"/>
    <col min="10" max="10" width="13" customWidth="1"/>
    <col min="13" max="13" width="2.7109375" customWidth="1"/>
    <col min="18" max="18" width="2.7109375" customWidth="1"/>
  </cols>
  <sheetData>
    <row r="1" spans="1:19" ht="15.75" customHeight="1" x14ac:dyDescent="0.4">
      <c r="A1" s="95"/>
      <c r="B1" s="96"/>
      <c r="C1" s="95"/>
      <c r="D1" s="281" t="s">
        <v>675</v>
      </c>
      <c r="E1" s="260"/>
      <c r="F1" s="260"/>
      <c r="G1" s="260"/>
      <c r="H1" s="95"/>
      <c r="I1" s="281" t="s">
        <v>676</v>
      </c>
      <c r="J1" s="260"/>
      <c r="K1" s="260"/>
      <c r="L1" s="260"/>
      <c r="M1" s="95"/>
      <c r="N1" s="282" t="s">
        <v>677</v>
      </c>
      <c r="O1" s="260"/>
      <c r="P1" s="260"/>
      <c r="Q1" s="260"/>
      <c r="R1" s="95"/>
      <c r="S1" s="95"/>
    </row>
    <row r="2" spans="1:19" ht="15.75" customHeight="1" x14ac:dyDescent="0.4">
      <c r="A2" s="95" t="s">
        <v>561</v>
      </c>
      <c r="B2" s="96" t="s">
        <v>678</v>
      </c>
      <c r="C2" s="95" t="s">
        <v>679</v>
      </c>
      <c r="D2" s="97" t="s">
        <v>680</v>
      </c>
      <c r="E2" s="97" t="s">
        <v>681</v>
      </c>
      <c r="F2" s="97" t="s">
        <v>682</v>
      </c>
      <c r="G2" s="97" t="s">
        <v>683</v>
      </c>
      <c r="H2" s="96"/>
      <c r="I2" s="98" t="s">
        <v>684</v>
      </c>
      <c r="J2" s="97" t="s">
        <v>685</v>
      </c>
      <c r="K2" s="97" t="s">
        <v>682</v>
      </c>
      <c r="L2" s="97" t="s">
        <v>683</v>
      </c>
      <c r="M2" s="96"/>
      <c r="N2" s="99" t="s">
        <v>686</v>
      </c>
      <c r="O2" s="98" t="s">
        <v>687</v>
      </c>
      <c r="P2" s="98" t="s">
        <v>688</v>
      </c>
      <c r="Q2" s="98" t="s">
        <v>689</v>
      </c>
      <c r="R2" s="96"/>
      <c r="S2" s="95" t="s">
        <v>690</v>
      </c>
    </row>
    <row r="3" spans="1:19" ht="15.75" customHeight="1" x14ac:dyDescent="0.35">
      <c r="A3" s="100" t="str">
        <f>HYPERLINK("https://www.examplebusiness.com/","https://www.examplebusiness.com/")</f>
        <v>https://www.examplebusiness.com/</v>
      </c>
      <c r="B3" s="34">
        <v>200</v>
      </c>
      <c r="C3" s="34"/>
      <c r="D3" s="20" t="s">
        <v>2049</v>
      </c>
      <c r="E3" s="34" t="s">
        <v>691</v>
      </c>
      <c r="F3" s="34">
        <v>36</v>
      </c>
      <c r="G3" s="101">
        <v>307</v>
      </c>
      <c r="H3" s="20"/>
      <c r="I3" s="20" t="s">
        <v>692</v>
      </c>
      <c r="J3" s="34" t="s">
        <v>691</v>
      </c>
      <c r="K3" s="34">
        <v>150</v>
      </c>
      <c r="L3" s="34">
        <v>975</v>
      </c>
      <c r="M3" s="20"/>
      <c r="N3" s="102"/>
      <c r="O3" s="103"/>
      <c r="P3" s="20" t="s">
        <v>2502</v>
      </c>
      <c r="Q3" s="20" t="s">
        <v>693</v>
      </c>
      <c r="R3" s="20"/>
      <c r="S3" s="34">
        <v>283</v>
      </c>
    </row>
    <row r="4" spans="1:19" ht="15.75" customHeight="1" x14ac:dyDescent="0.35">
      <c r="A4" s="104" t="str">
        <f>HYPERLINK("https://www.examplebusiness.com/?redirectUrl=/join-us-new","https://www.examplebusiness.com/?redirectUrl=/join-us-new")</f>
        <v>https://www.examplebusiness.com/?redirectUrl=/join-us-new</v>
      </c>
      <c r="B4" s="34">
        <v>200</v>
      </c>
      <c r="C4" s="34"/>
      <c r="D4" s="20" t="s">
        <v>2049</v>
      </c>
      <c r="E4" s="34" t="s">
        <v>691</v>
      </c>
      <c r="F4" s="34">
        <v>36</v>
      </c>
      <c r="G4" s="34">
        <v>307</v>
      </c>
      <c r="H4" s="20"/>
      <c r="I4" s="20" t="s">
        <v>692</v>
      </c>
      <c r="J4" s="34" t="s">
        <v>691</v>
      </c>
      <c r="K4" s="34">
        <v>150</v>
      </c>
      <c r="L4" s="34">
        <v>975</v>
      </c>
      <c r="M4" s="20"/>
      <c r="N4" s="102"/>
      <c r="O4" s="20"/>
      <c r="P4" s="20" t="s">
        <v>2502</v>
      </c>
      <c r="Q4" s="20" t="s">
        <v>693</v>
      </c>
      <c r="R4" s="20"/>
      <c r="S4" s="34">
        <v>283</v>
      </c>
    </row>
    <row r="5" spans="1:19" ht="15.75" customHeight="1" x14ac:dyDescent="0.35">
      <c r="A5" s="104" t="str">
        <f>HYPERLINK("https://www.examplebusiness.com/about-new","https://www.examplebusiness.com/about-new")</f>
        <v>https://www.examplebusiness.com/about-new</v>
      </c>
      <c r="B5" s="34">
        <v>200</v>
      </c>
      <c r="C5" s="34"/>
      <c r="D5" s="20" t="s">
        <v>2051</v>
      </c>
      <c r="E5" s="34" t="s">
        <v>691</v>
      </c>
      <c r="F5" s="34">
        <v>21</v>
      </c>
      <c r="G5" s="34">
        <v>184</v>
      </c>
      <c r="H5" s="20"/>
      <c r="I5" s="20"/>
      <c r="J5" s="34" t="s">
        <v>694</v>
      </c>
      <c r="K5" s="34">
        <v>0</v>
      </c>
      <c r="L5" s="34">
        <v>0</v>
      </c>
      <c r="M5" s="20"/>
      <c r="N5" s="102"/>
      <c r="O5" s="20"/>
      <c r="P5" s="20" t="s">
        <v>695</v>
      </c>
      <c r="Q5" s="20" t="s">
        <v>696</v>
      </c>
      <c r="R5" s="20"/>
      <c r="S5" s="34">
        <v>372</v>
      </c>
    </row>
    <row r="6" spans="1:19" ht="15.75" customHeight="1" x14ac:dyDescent="0.35">
      <c r="A6" s="104" t="str">
        <f>HYPERLINK("https://www.examplebusiness.com/adviseabc","https://www.examplebusiness.com/adviseabc")</f>
        <v>https://www.examplebusiness.com/adviseabc</v>
      </c>
      <c r="B6" s="34">
        <v>200</v>
      </c>
      <c r="C6" s="34"/>
      <c r="D6" s="20" t="s">
        <v>2052</v>
      </c>
      <c r="E6" s="34" t="s">
        <v>691</v>
      </c>
      <c r="F6" s="34">
        <v>25</v>
      </c>
      <c r="G6" s="34">
        <v>224</v>
      </c>
      <c r="H6" s="20"/>
      <c r="I6" s="20"/>
      <c r="J6" s="34" t="s">
        <v>694</v>
      </c>
      <c r="K6" s="34">
        <v>0</v>
      </c>
      <c r="L6" s="34">
        <v>0</v>
      </c>
      <c r="M6" s="20"/>
      <c r="N6" s="102"/>
      <c r="O6" s="20"/>
      <c r="P6" s="20" t="s">
        <v>2053</v>
      </c>
      <c r="Q6" s="20" t="s">
        <v>2054</v>
      </c>
      <c r="R6" s="20"/>
      <c r="S6" s="34">
        <v>343</v>
      </c>
    </row>
    <row r="7" spans="1:19" ht="15.75" customHeight="1" x14ac:dyDescent="0.35">
      <c r="A7" s="100" t="str">
        <f>HYPERLINK("https://www.examplebusiness.com/blog","https://www.examplebusiness.com/blog")</f>
        <v>https://www.examplebusiness.com/blog</v>
      </c>
      <c r="B7" s="34">
        <v>200</v>
      </c>
      <c r="C7" s="34"/>
      <c r="D7" s="20" t="s">
        <v>2055</v>
      </c>
      <c r="E7" s="34" t="s">
        <v>691</v>
      </c>
      <c r="F7" s="34">
        <v>20</v>
      </c>
      <c r="G7" s="101">
        <v>172</v>
      </c>
      <c r="H7" s="20"/>
      <c r="I7" s="20"/>
      <c r="J7" s="34" t="s">
        <v>694</v>
      </c>
      <c r="K7" s="34">
        <v>0</v>
      </c>
      <c r="L7" s="34">
        <v>0</v>
      </c>
      <c r="M7" s="20"/>
      <c r="N7" s="102" t="s">
        <v>697</v>
      </c>
      <c r="O7" s="103"/>
      <c r="P7" s="20" t="s">
        <v>698</v>
      </c>
      <c r="Q7" s="20" t="s">
        <v>699</v>
      </c>
      <c r="R7" s="20"/>
      <c r="S7" s="34">
        <v>3415</v>
      </c>
    </row>
    <row r="8" spans="1:19" ht="15.75" customHeight="1" x14ac:dyDescent="0.35">
      <c r="A8" s="104" t="str">
        <f>HYPERLINK("https://www.examplebusiness.com/blog/12-estate-planning-must-dos","https://www.examplebusiness.com/blog/12-estate-planning-must-dos")</f>
        <v>https://www.examplebusiness.com/blog/12-estate-planning-must-dos</v>
      </c>
      <c r="B8" s="34">
        <v>200</v>
      </c>
      <c r="C8" s="34"/>
      <c r="D8" s="20" t="s">
        <v>2056</v>
      </c>
      <c r="E8" s="34" t="s">
        <v>691</v>
      </c>
      <c r="F8" s="34">
        <v>43</v>
      </c>
      <c r="G8" s="34">
        <v>388</v>
      </c>
      <c r="H8" s="20"/>
      <c r="I8" s="20"/>
      <c r="J8" s="34" t="s">
        <v>694</v>
      </c>
      <c r="K8" s="34">
        <v>0</v>
      </c>
      <c r="L8" s="34">
        <v>0</v>
      </c>
      <c r="M8" s="20"/>
      <c r="N8" s="102" t="s">
        <v>700</v>
      </c>
      <c r="O8" s="20"/>
      <c r="P8" s="20"/>
      <c r="Q8" s="20"/>
      <c r="R8" s="20"/>
      <c r="S8" s="34">
        <v>963</v>
      </c>
    </row>
    <row r="9" spans="1:19" ht="15.75" customHeight="1" x14ac:dyDescent="0.35">
      <c r="A9" s="104" t="str">
        <f>HYPERLINK("https://www.examplebusiness.com/blog/30-important-questions-to-answer-about-your-will","https://www.examplebusiness.com/blog/30-important-questions-to-answer-about-your-will")</f>
        <v>https://www.examplebusiness.com/blog/30-important-questions-to-answer-about-your-will</v>
      </c>
      <c r="B9" s="34">
        <v>200</v>
      </c>
      <c r="C9" s="34"/>
      <c r="D9" s="20" t="s">
        <v>701</v>
      </c>
      <c r="E9" s="34" t="s">
        <v>691</v>
      </c>
      <c r="F9" s="34">
        <v>58</v>
      </c>
      <c r="G9" s="34">
        <v>532</v>
      </c>
      <c r="H9" s="20"/>
      <c r="I9" s="20"/>
      <c r="J9" s="34" t="s">
        <v>694</v>
      </c>
      <c r="K9" s="34">
        <v>0</v>
      </c>
      <c r="L9" s="34">
        <v>0</v>
      </c>
      <c r="M9" s="20"/>
      <c r="N9" s="102" t="s">
        <v>702</v>
      </c>
      <c r="O9" s="20"/>
      <c r="P9" s="20"/>
      <c r="Q9" s="20"/>
      <c r="R9" s="20"/>
      <c r="S9" s="34">
        <v>586</v>
      </c>
    </row>
    <row r="10" spans="1:19" ht="15.75" customHeight="1" x14ac:dyDescent="0.35">
      <c r="A10" s="104" t="str">
        <f>HYPERLINK("https://www.examplebusiness.com/blog/abc-Example-acquires-true-north-capital-alliance","https://www.examplebusiness.com/blog/abc-Example-acquires-true-north-capital-alliance")</f>
        <v>https://www.examplebusiness.com/blog/abc-Example-acquires-true-north-capital-alliance</v>
      </c>
      <c r="B10" s="34">
        <v>200</v>
      </c>
      <c r="C10" s="34"/>
      <c r="D10" s="20" t="s">
        <v>2057</v>
      </c>
      <c r="E10" s="34" t="s">
        <v>691</v>
      </c>
      <c r="F10" s="34">
        <v>50</v>
      </c>
      <c r="G10" s="34">
        <v>436</v>
      </c>
      <c r="H10" s="20"/>
      <c r="I10" s="20"/>
      <c r="J10" s="34" t="s">
        <v>694</v>
      </c>
      <c r="K10" s="34">
        <v>0</v>
      </c>
      <c r="L10" s="34">
        <v>0</v>
      </c>
      <c r="M10" s="20"/>
      <c r="N10" s="102" t="s">
        <v>2058</v>
      </c>
      <c r="O10" s="20" t="s">
        <v>2057</v>
      </c>
      <c r="P10" s="20"/>
      <c r="Q10" s="20"/>
      <c r="R10" s="20"/>
      <c r="S10" s="34">
        <v>282</v>
      </c>
    </row>
    <row r="11" spans="1:19" ht="15.75" customHeight="1" x14ac:dyDescent="0.35">
      <c r="A11" s="104" t="str">
        <f>HYPERLINK("https://www.examplebusiness.com/blog/4-things-you-should-know-about-the-midterms","https://www.examplebusiness.com/blog/4-things-you-should-know-about-the-midterms")</f>
        <v>https://www.examplebusiness.com/blog/4-things-you-should-know-about-the-midterms</v>
      </c>
      <c r="B11" s="34">
        <v>200</v>
      </c>
      <c r="C11" s="34"/>
      <c r="D11" s="20" t="s">
        <v>2059</v>
      </c>
      <c r="E11" s="34" t="s">
        <v>691</v>
      </c>
      <c r="F11" s="34">
        <v>59</v>
      </c>
      <c r="G11" s="34">
        <v>552</v>
      </c>
      <c r="H11" s="20"/>
      <c r="I11" s="20"/>
      <c r="J11" s="34" t="s">
        <v>694</v>
      </c>
      <c r="K11" s="34">
        <v>0</v>
      </c>
      <c r="L11" s="34">
        <v>0</v>
      </c>
      <c r="M11" s="20"/>
      <c r="N11" s="102" t="s">
        <v>703</v>
      </c>
      <c r="O11" s="20"/>
      <c r="P11" s="20"/>
      <c r="Q11" s="20"/>
      <c r="R11" s="20"/>
      <c r="S11" s="34">
        <v>1320</v>
      </c>
    </row>
    <row r="12" spans="1:19" ht="15.75" customHeight="1" x14ac:dyDescent="0.35">
      <c r="A12" s="104" t="str">
        <f>HYPERLINK("https://www.examplebusiness.com/blog/5-important-Example-resolutions-for-2019","https://www.examplebusiness.com/blog/5-important-Example-resolutions-for-2019")</f>
        <v>https://www.examplebusiness.com/blog/5-important-Example-resolutions-for-2019</v>
      </c>
      <c r="B12" s="34">
        <v>200</v>
      </c>
      <c r="C12" s="34"/>
      <c r="D12" s="20" t="s">
        <v>2503</v>
      </c>
      <c r="E12" s="34" t="s">
        <v>691</v>
      </c>
      <c r="F12" s="34">
        <v>58</v>
      </c>
      <c r="G12" s="34">
        <v>503</v>
      </c>
      <c r="H12" s="20"/>
      <c r="I12" s="20"/>
      <c r="J12" s="34" t="s">
        <v>694</v>
      </c>
      <c r="K12" s="34">
        <v>0</v>
      </c>
      <c r="L12" s="34">
        <v>0</v>
      </c>
      <c r="M12" s="20"/>
      <c r="N12" s="102" t="s">
        <v>2504</v>
      </c>
      <c r="O12" s="20"/>
      <c r="P12" s="20"/>
      <c r="Q12" s="20"/>
      <c r="R12" s="20"/>
      <c r="S12" s="34">
        <v>1160</v>
      </c>
    </row>
    <row r="13" spans="1:19" ht="15.75" customHeight="1" x14ac:dyDescent="0.35">
      <c r="A13" s="104" t="str">
        <f>HYPERLINK("https://www.examplebusiness.com/blog/5-steps-to-take-before-youre-65","https://www.examplebusiness.com/blog/5-steps-to-take-before-youre-65")</f>
        <v>https://www.examplebusiness.com/blog/5-steps-to-take-before-youre-65</v>
      </c>
      <c r="B13" s="34">
        <v>200</v>
      </c>
      <c r="C13" s="34"/>
      <c r="D13" s="20" t="s">
        <v>2060</v>
      </c>
      <c r="E13" s="34" t="s">
        <v>691</v>
      </c>
      <c r="F13" s="34">
        <v>48</v>
      </c>
      <c r="G13" s="34">
        <v>430</v>
      </c>
      <c r="H13" s="20"/>
      <c r="I13" s="20"/>
      <c r="J13" s="34" t="s">
        <v>694</v>
      </c>
      <c r="K13" s="34">
        <v>0</v>
      </c>
      <c r="L13" s="34">
        <v>0</v>
      </c>
      <c r="M13" s="20"/>
      <c r="N13" s="102" t="s">
        <v>704</v>
      </c>
      <c r="O13" s="20"/>
      <c r="P13" s="20"/>
      <c r="Q13" s="20"/>
      <c r="R13" s="20"/>
      <c r="S13" s="34">
        <v>455</v>
      </c>
    </row>
    <row r="14" spans="1:19" ht="15.75" customHeight="1" x14ac:dyDescent="0.35">
      <c r="A14" s="104" t="str">
        <f>HYPERLINK("https://www.examplebusiness.com/blog/5-ways-to-build-a-better-tax-plan","https://www.examplebusiness.com/blog/5-ways-to-build-a-better-tax-plan")</f>
        <v>https://www.examplebusiness.com/blog/5-ways-to-build-a-better-tax-plan</v>
      </c>
      <c r="B14" s="34">
        <v>200</v>
      </c>
      <c r="C14" s="34"/>
      <c r="D14" s="20" t="s">
        <v>2061</v>
      </c>
      <c r="E14" s="34" t="s">
        <v>691</v>
      </c>
      <c r="F14" s="34">
        <v>49</v>
      </c>
      <c r="G14" s="34">
        <v>432</v>
      </c>
      <c r="H14" s="20"/>
      <c r="I14" s="20"/>
      <c r="J14" s="34" t="s">
        <v>694</v>
      </c>
      <c r="K14" s="34">
        <v>0</v>
      </c>
      <c r="L14" s="34">
        <v>0</v>
      </c>
      <c r="M14" s="20"/>
      <c r="N14" s="102" t="s">
        <v>705</v>
      </c>
      <c r="O14" s="20"/>
      <c r="P14" s="20"/>
      <c r="Q14" s="20"/>
      <c r="R14" s="20"/>
      <c r="S14" s="34">
        <v>430</v>
      </c>
    </row>
    <row r="15" spans="1:19" ht="15.75" customHeight="1" x14ac:dyDescent="0.35">
      <c r="A15" s="104" t="str">
        <f>HYPERLINK("https://www.examplebusiness.com/blog/529-savings-plans-vs-prepaid-tuition-plans","https://www.examplebusiness.com/blog/529-savings-plans-vs-prepaid-tuition-plans")</f>
        <v>https://www.examplebusiness.com/blog/529-savings-plans-vs-prepaid-tuition-plans</v>
      </c>
      <c r="B15" s="34">
        <v>200</v>
      </c>
      <c r="C15" s="34"/>
      <c r="D15" s="20" t="s">
        <v>2062</v>
      </c>
      <c r="E15" s="34" t="s">
        <v>691</v>
      </c>
      <c r="F15" s="34">
        <v>59</v>
      </c>
      <c r="G15" s="34">
        <v>516</v>
      </c>
      <c r="H15" s="20"/>
      <c r="I15" s="20"/>
      <c r="J15" s="34" t="s">
        <v>694</v>
      </c>
      <c r="K15" s="34">
        <v>0</v>
      </c>
      <c r="L15" s="34">
        <v>0</v>
      </c>
      <c r="M15" s="20"/>
      <c r="N15" s="102" t="s">
        <v>706</v>
      </c>
      <c r="O15" s="20"/>
      <c r="P15" s="20" t="s">
        <v>707</v>
      </c>
      <c r="Q15" s="20" t="s">
        <v>708</v>
      </c>
      <c r="R15" s="20"/>
      <c r="S15" s="34">
        <v>2239</v>
      </c>
    </row>
    <row r="16" spans="1:19" ht="15.75" customHeight="1" x14ac:dyDescent="0.35">
      <c r="A16" s="104" t="str">
        <f>HYPERLINK("https://www.examplebusiness.com/blog/6-things-to-know-about-retirement-and-the-coronavirus-relief-bill","https://www.examplebusiness.com/blog/6-things-to-know-about-retirement-and-the-coronavirus-relief-bill")</f>
        <v>https://www.examplebusiness.com/blog/6-things-to-know-about-retirement-and-the-coronavirus-relief-bill</v>
      </c>
      <c r="B16" s="34">
        <v>200</v>
      </c>
      <c r="C16" s="34"/>
      <c r="D16" s="20" t="s">
        <v>2063</v>
      </c>
      <c r="E16" s="34" t="s">
        <v>691</v>
      </c>
      <c r="F16" s="34">
        <v>81</v>
      </c>
      <c r="G16" s="34">
        <v>710</v>
      </c>
      <c r="H16" s="20"/>
      <c r="I16" s="20"/>
      <c r="J16" s="34" t="s">
        <v>694</v>
      </c>
      <c r="K16" s="34">
        <v>0</v>
      </c>
      <c r="L16" s="34">
        <v>0</v>
      </c>
      <c r="M16" s="20"/>
      <c r="N16" s="102" t="s">
        <v>709</v>
      </c>
      <c r="O16" s="20"/>
      <c r="P16" s="20"/>
      <c r="Q16" s="20"/>
      <c r="R16" s="20"/>
      <c r="S16" s="34">
        <v>486</v>
      </c>
    </row>
    <row r="17" spans="1:19" ht="15.75" customHeight="1" x14ac:dyDescent="0.35">
      <c r="A17" s="104" t="str">
        <f>HYPERLINK("https://www.examplebusiness.com/blog/6-ways-to-a-happier-retirement","https://www.examplebusiness.com/blog/6-ways-to-a-happier-retirement")</f>
        <v>https://www.examplebusiness.com/blog/6-ways-to-a-happier-retirement</v>
      </c>
      <c r="B17" s="34">
        <v>200</v>
      </c>
      <c r="C17" s="34"/>
      <c r="D17" s="299" t="s">
        <v>2064</v>
      </c>
      <c r="E17" s="34" t="s">
        <v>691</v>
      </c>
      <c r="F17" s="34">
        <v>46</v>
      </c>
      <c r="G17" s="34">
        <v>416</v>
      </c>
      <c r="H17" s="20"/>
      <c r="I17" s="20" t="s">
        <v>2505</v>
      </c>
      <c r="J17" s="34" t="s">
        <v>691</v>
      </c>
      <c r="K17" s="34">
        <v>150</v>
      </c>
      <c r="L17" s="34">
        <v>971</v>
      </c>
      <c r="M17" s="20"/>
      <c r="N17" s="102" t="s">
        <v>710</v>
      </c>
      <c r="O17" s="20"/>
      <c r="P17" s="20"/>
      <c r="Q17" s="20"/>
      <c r="R17" s="20"/>
      <c r="S17" s="34">
        <v>886</v>
      </c>
    </row>
    <row r="18" spans="1:19" ht="15.75" customHeight="1" x14ac:dyDescent="0.35">
      <c r="A18" s="104" t="str">
        <f>HYPERLINK("https://www.examplebusiness.com/blog/7-things-to-know-about-the-usa-china-trade-dispute","https://www.examplebusiness.com/blog/7-things-to-know-about-the-usa-china-trade-dispute")</f>
        <v>https://www.examplebusiness.com/blog/7-things-to-know-about-the-usa-china-trade-dispute</v>
      </c>
      <c r="B18" s="34">
        <v>200</v>
      </c>
      <c r="C18" s="34"/>
      <c r="D18" s="20" t="s">
        <v>2065</v>
      </c>
      <c r="E18" s="34" t="s">
        <v>691</v>
      </c>
      <c r="F18" s="34">
        <v>66</v>
      </c>
      <c r="G18" s="34">
        <v>606</v>
      </c>
      <c r="H18" s="20"/>
      <c r="I18" s="20"/>
      <c r="J18" s="34" t="s">
        <v>694</v>
      </c>
      <c r="K18" s="34">
        <v>0</v>
      </c>
      <c r="L18" s="34">
        <v>0</v>
      </c>
      <c r="M18" s="20"/>
      <c r="N18" s="102" t="s">
        <v>711</v>
      </c>
      <c r="O18" s="20"/>
      <c r="P18" s="20"/>
      <c r="Q18" s="20"/>
      <c r="R18" s="20"/>
      <c r="S18" s="34">
        <v>1189</v>
      </c>
    </row>
    <row r="19" spans="1:19" ht="15.75" customHeight="1" x14ac:dyDescent="0.35">
      <c r="A19" s="104" t="str">
        <f>HYPERLINK("https://www.examplebusiness.com/blog/adding-a-personal-backup-with-a-living-trust","https://www.examplebusiness.com/blog/adding-a-personal-backup-with-a-living-trust")</f>
        <v>https://www.examplebusiness.com/blog/adding-a-personal-backup-with-a-living-trust</v>
      </c>
      <c r="B19" s="34">
        <v>200</v>
      </c>
      <c r="C19" s="34"/>
      <c r="D19" s="20" t="s">
        <v>2066</v>
      </c>
      <c r="E19" s="34" t="s">
        <v>691</v>
      </c>
      <c r="F19" s="34">
        <v>60</v>
      </c>
      <c r="G19" s="34">
        <v>532</v>
      </c>
      <c r="H19" s="20"/>
      <c r="I19" s="20" t="s">
        <v>2067</v>
      </c>
      <c r="J19" s="34" t="s">
        <v>691</v>
      </c>
      <c r="K19" s="34">
        <v>144</v>
      </c>
      <c r="L19" s="34">
        <v>927</v>
      </c>
      <c r="M19" s="20"/>
      <c r="N19" s="102" t="s">
        <v>712</v>
      </c>
      <c r="O19" s="20"/>
      <c r="P19" s="20"/>
      <c r="Q19" s="20"/>
      <c r="R19" s="20"/>
      <c r="S19" s="34">
        <v>596</v>
      </c>
    </row>
    <row r="20" spans="1:19" ht="15.75" customHeight="1" x14ac:dyDescent="0.35">
      <c r="A20" s="104" t="str">
        <f>HYPERLINK("https://www.examplebusiness.com/blog/appropriate-checklists-for-year-end-tax-planning","https://www.examplebusiness.com/blog/appropriate-checklists-for-year-end-tax-planning")</f>
        <v>https://www.examplebusiness.com/blog/appropriate-checklists-for-year-end-tax-planning</v>
      </c>
      <c r="B20" s="34">
        <v>200</v>
      </c>
      <c r="C20" s="34"/>
      <c r="D20" s="20" t="s">
        <v>2068</v>
      </c>
      <c r="E20" s="34" t="s">
        <v>691</v>
      </c>
      <c r="F20" s="34">
        <v>64</v>
      </c>
      <c r="G20" s="34">
        <v>568</v>
      </c>
      <c r="H20" s="20"/>
      <c r="I20" s="20"/>
      <c r="J20" s="34" t="s">
        <v>694</v>
      </c>
      <c r="K20" s="34">
        <v>0</v>
      </c>
      <c r="L20" s="34">
        <v>0</v>
      </c>
      <c r="M20" s="20"/>
      <c r="N20" s="102" t="s">
        <v>713</v>
      </c>
      <c r="O20" s="20"/>
      <c r="P20" s="20" t="s">
        <v>714</v>
      </c>
      <c r="Q20" s="20" t="s">
        <v>715</v>
      </c>
      <c r="R20" s="20"/>
      <c r="S20" s="34">
        <v>1224</v>
      </c>
    </row>
    <row r="21" spans="1:19" ht="15.75" customHeight="1" x14ac:dyDescent="0.35">
      <c r="A21" s="104" t="str">
        <f>HYPERLINK("https://www.examplebusiness.com/blog/balancing-act-saving-for-both-retirement-and-college","https://www.examplebusiness.com/blog/balancing-act-saving-for-both-retirement-and-college")</f>
        <v>https://www.examplebusiness.com/blog/balancing-act-saving-for-both-retirement-and-college</v>
      </c>
      <c r="B21" s="34">
        <v>200</v>
      </c>
      <c r="C21" s="34"/>
      <c r="D21" s="20" t="s">
        <v>2069</v>
      </c>
      <c r="E21" s="34" t="s">
        <v>691</v>
      </c>
      <c r="F21" s="34">
        <v>69</v>
      </c>
      <c r="G21" s="34">
        <v>610</v>
      </c>
      <c r="H21" s="20"/>
      <c r="I21" s="20" t="s">
        <v>716</v>
      </c>
      <c r="J21" s="34" t="s">
        <v>691</v>
      </c>
      <c r="K21" s="34">
        <v>102</v>
      </c>
      <c r="L21" s="34">
        <v>642</v>
      </c>
      <c r="M21" s="20"/>
      <c r="N21" s="102" t="s">
        <v>717</v>
      </c>
      <c r="O21" s="20"/>
      <c r="P21" s="20" t="s">
        <v>718</v>
      </c>
      <c r="Q21" s="20" t="s">
        <v>719</v>
      </c>
      <c r="R21" s="20"/>
      <c r="S21" s="34">
        <v>607</v>
      </c>
    </row>
    <row r="22" spans="1:19" ht="15.75" customHeight="1" x14ac:dyDescent="0.35">
      <c r="A22" s="104" t="str">
        <f>HYPERLINK("https://www.examplebusiness.com/blog/big-annual-declines-are-rare","https://www.examplebusiness.com/blog/big-annual-declines-are-rare")</f>
        <v>https://www.examplebusiness.com/blog/big-annual-declines-are-rare</v>
      </c>
      <c r="B22" s="34">
        <v>200</v>
      </c>
      <c r="C22" s="34"/>
      <c r="D22" s="20" t="s">
        <v>2070</v>
      </c>
      <c r="E22" s="34" t="s">
        <v>691</v>
      </c>
      <c r="F22" s="34">
        <v>44</v>
      </c>
      <c r="G22" s="34">
        <v>391</v>
      </c>
      <c r="H22" s="20"/>
      <c r="I22" s="20"/>
      <c r="J22" s="34" t="s">
        <v>694</v>
      </c>
      <c r="K22" s="34">
        <v>0</v>
      </c>
      <c r="L22" s="34">
        <v>0</v>
      </c>
      <c r="M22" s="20"/>
      <c r="N22" s="102" t="s">
        <v>720</v>
      </c>
      <c r="O22" s="20"/>
      <c r="P22" s="20"/>
      <c r="Q22" s="20"/>
      <c r="R22" s="20"/>
      <c r="S22" s="34">
        <v>883</v>
      </c>
    </row>
    <row r="23" spans="1:19" ht="15.75" customHeight="1" x14ac:dyDescent="0.35">
      <c r="A23" s="104" t="str">
        <f>HYPERLINK("https://www.examplebusiness.com/blog/breaking-down-the-inverted-yield-curve","https://www.examplebusiness.com/blog/breaking-down-the-inverted-yield-curve")</f>
        <v>https://www.examplebusiness.com/blog/breaking-down-the-inverted-yield-curve</v>
      </c>
      <c r="B23" s="34">
        <v>200</v>
      </c>
      <c r="C23" s="34"/>
      <c r="D23" s="20" t="s">
        <v>2071</v>
      </c>
      <c r="E23" s="34" t="s">
        <v>691</v>
      </c>
      <c r="F23" s="34">
        <v>54</v>
      </c>
      <c r="G23" s="34">
        <v>483</v>
      </c>
      <c r="H23" s="20"/>
      <c r="I23" s="20"/>
      <c r="J23" s="34" t="s">
        <v>694</v>
      </c>
      <c r="K23" s="34">
        <v>0</v>
      </c>
      <c r="L23" s="34">
        <v>0</v>
      </c>
      <c r="M23" s="20"/>
      <c r="N23" s="102" t="s">
        <v>721</v>
      </c>
      <c r="O23" s="20"/>
      <c r="P23" s="20"/>
      <c r="Q23" s="20"/>
      <c r="R23" s="20"/>
      <c r="S23" s="34">
        <v>1331</v>
      </c>
    </row>
    <row r="24" spans="1:19" ht="15.75" customHeight="1" x14ac:dyDescent="0.35">
      <c r="A24" s="104" t="str">
        <f>HYPERLINK("https://www.examplebusiness.com/blog/coping-with-market-volatility-in-uncertain-times","https://www.examplebusiness.com/blog/coping-with-market-volatility-in-uncertain-times")</f>
        <v>https://www.examplebusiness.com/blog/coping-with-market-volatility-in-uncertain-times</v>
      </c>
      <c r="B24" s="34">
        <v>200</v>
      </c>
      <c r="C24" s="34"/>
      <c r="D24" s="20" t="s">
        <v>2072</v>
      </c>
      <c r="E24" s="34" t="s">
        <v>691</v>
      </c>
      <c r="F24" s="34">
        <v>64</v>
      </c>
      <c r="G24" s="34">
        <v>553</v>
      </c>
      <c r="H24" s="20"/>
      <c r="I24" s="20"/>
      <c r="J24" s="34" t="s">
        <v>694</v>
      </c>
      <c r="K24" s="34">
        <v>0</v>
      </c>
      <c r="L24" s="34">
        <v>0</v>
      </c>
      <c r="M24" s="20"/>
      <c r="N24" s="102" t="s">
        <v>722</v>
      </c>
      <c r="O24" s="20"/>
      <c r="P24" s="20" t="s">
        <v>723</v>
      </c>
      <c r="Q24" s="20"/>
      <c r="R24" s="20"/>
      <c r="S24" s="34">
        <v>669</v>
      </c>
    </row>
    <row r="25" spans="1:19" ht="16.5" x14ac:dyDescent="0.35">
      <c r="A25" s="104" t="str">
        <f>HYPERLINK("https://www.examplebusiness.com/blog/dirty-dozen-retirement-planning-mistakes","https://www.examplebusiness.com/blog/dirty-dozen-retirement-planning-mistakes")</f>
        <v>https://www.examplebusiness.com/blog/dirty-dozen-retirement-planning-mistakes</v>
      </c>
      <c r="B25" s="34">
        <v>200</v>
      </c>
      <c r="C25" s="34"/>
      <c r="D25" s="20" t="s">
        <v>2073</v>
      </c>
      <c r="E25" s="34" t="s">
        <v>691</v>
      </c>
      <c r="F25" s="34">
        <v>56</v>
      </c>
      <c r="G25" s="34">
        <v>501</v>
      </c>
      <c r="H25" s="20"/>
      <c r="I25" s="20"/>
      <c r="J25" s="34" t="s">
        <v>694</v>
      </c>
      <c r="K25" s="34">
        <v>0</v>
      </c>
      <c r="L25" s="34">
        <v>0</v>
      </c>
      <c r="M25" s="20"/>
      <c r="N25" s="102" t="s">
        <v>724</v>
      </c>
      <c r="O25" s="20"/>
      <c r="P25" s="20"/>
      <c r="Q25" s="20"/>
      <c r="R25" s="20"/>
      <c r="S25" s="34">
        <v>1051</v>
      </c>
    </row>
    <row r="26" spans="1:19" ht="16.5" x14ac:dyDescent="0.35">
      <c r="A26" s="104" t="str">
        <f>HYPERLINK("https://www.examplebusiness.com/blog/eleven-ways-to-help-yourself-stay-sane-in-a-crazy-market","https://www.examplebusiness.com/blog/eleven-ways-to-help-yourself-stay-sane-in-a-crazy-market")</f>
        <v>https://www.examplebusiness.com/blog/eleven-ways-to-help-yourself-stay-sane-in-a-crazy-market</v>
      </c>
      <c r="B26" s="34">
        <v>200</v>
      </c>
      <c r="C26" s="34"/>
      <c r="D26" s="20" t="s">
        <v>2074</v>
      </c>
      <c r="E26" s="34" t="s">
        <v>691</v>
      </c>
      <c r="F26" s="34">
        <v>72</v>
      </c>
      <c r="G26" s="34">
        <v>653</v>
      </c>
      <c r="H26" s="20"/>
      <c r="I26" s="20"/>
      <c r="J26" s="34" t="s">
        <v>694</v>
      </c>
      <c r="K26" s="34">
        <v>0</v>
      </c>
      <c r="L26" s="34">
        <v>0</v>
      </c>
      <c r="M26" s="20"/>
      <c r="N26" s="102" t="s">
        <v>725</v>
      </c>
      <c r="O26" s="20"/>
      <c r="P26" s="20"/>
      <c r="Q26" s="20"/>
      <c r="R26" s="20"/>
      <c r="S26" s="34">
        <v>1307</v>
      </c>
    </row>
    <row r="27" spans="1:19" ht="16.5" x14ac:dyDescent="0.35">
      <c r="A27" s="104" t="str">
        <f>HYPERLINK("https://www.examplebusiness.com/blog/end-of-year-eoy-deadlines-checklist","https://www.examplebusiness.com/blog/end-of-year-eoy-deadlines-checklist")</f>
        <v>https://www.examplebusiness.com/blog/end-of-year-eoy-deadlines-checklist</v>
      </c>
      <c r="B27" s="34">
        <v>200</v>
      </c>
      <c r="C27" s="34"/>
      <c r="D27" s="20" t="s">
        <v>2075</v>
      </c>
      <c r="E27" s="34" t="s">
        <v>691</v>
      </c>
      <c r="F27" s="34">
        <v>53</v>
      </c>
      <c r="G27" s="34">
        <v>479</v>
      </c>
      <c r="H27" s="20"/>
      <c r="I27" s="20"/>
      <c r="J27" s="34" t="s">
        <v>694</v>
      </c>
      <c r="K27" s="34">
        <v>0</v>
      </c>
      <c r="L27" s="34">
        <v>0</v>
      </c>
      <c r="M27" s="20"/>
      <c r="N27" s="102" t="s">
        <v>726</v>
      </c>
      <c r="O27" s="20"/>
      <c r="P27" s="20" t="s">
        <v>727</v>
      </c>
      <c r="Q27" s="20" t="s">
        <v>728</v>
      </c>
      <c r="R27" s="20"/>
      <c r="S27" s="34">
        <v>698</v>
      </c>
    </row>
    <row r="28" spans="1:19" ht="16.5" x14ac:dyDescent="0.35">
      <c r="A28" s="104" t="str">
        <f>HYPERLINK("https://www.examplebusiness.com/blog/end-of-year-planning-set-goals-and-reduce-taxes","https://www.examplebusiness.com/blog/end-of-year-planning-set-goals-and-reduce-taxes")</f>
        <v>https://www.examplebusiness.com/blog/end-of-year-planning-set-goals-and-reduce-taxes</v>
      </c>
      <c r="B28" s="34">
        <v>200</v>
      </c>
      <c r="C28" s="34"/>
      <c r="D28" s="20" t="s">
        <v>2076</v>
      </c>
      <c r="E28" s="34" t="s">
        <v>691</v>
      </c>
      <c r="F28" s="34">
        <v>64</v>
      </c>
      <c r="G28" s="34">
        <v>588</v>
      </c>
      <c r="H28" s="20"/>
      <c r="I28" s="20"/>
      <c r="J28" s="34" t="s">
        <v>694</v>
      </c>
      <c r="K28" s="34">
        <v>0</v>
      </c>
      <c r="L28" s="34">
        <v>0</v>
      </c>
      <c r="M28" s="20"/>
      <c r="N28" s="102" t="s">
        <v>729</v>
      </c>
      <c r="O28" s="20"/>
      <c r="P28" s="20" t="s">
        <v>730</v>
      </c>
      <c r="Q28" s="20" t="s">
        <v>731</v>
      </c>
      <c r="R28" s="20"/>
      <c r="S28" s="34">
        <v>816</v>
      </c>
    </row>
    <row r="29" spans="1:19" ht="16.5" x14ac:dyDescent="0.35">
      <c r="A29" s="104" t="str">
        <f>HYPERLINK("https://www.examplebusiness.com/blog/evaluating-investment-risk","https://www.examplebusiness.com/blog/evaluating-investment-risk")</f>
        <v>https://www.examplebusiness.com/blog/evaluating-investment-risk</v>
      </c>
      <c r="B29" s="34">
        <v>200</v>
      </c>
      <c r="C29" s="34"/>
      <c r="D29" s="20" t="s">
        <v>2077</v>
      </c>
      <c r="E29" s="34" t="s">
        <v>691</v>
      </c>
      <c r="F29" s="34">
        <v>42</v>
      </c>
      <c r="G29" s="34">
        <v>367</v>
      </c>
      <c r="H29" s="20"/>
      <c r="I29" s="20"/>
      <c r="J29" s="34" t="s">
        <v>694</v>
      </c>
      <c r="K29" s="34">
        <v>0</v>
      </c>
      <c r="L29" s="34">
        <v>0</v>
      </c>
      <c r="M29" s="20"/>
      <c r="N29" s="102" t="s">
        <v>732</v>
      </c>
      <c r="O29" s="20"/>
      <c r="P29" s="20"/>
      <c r="Q29" s="20"/>
      <c r="R29" s="20"/>
      <c r="S29" s="34">
        <v>826</v>
      </c>
    </row>
    <row r="30" spans="1:19" ht="16.5" x14ac:dyDescent="0.35">
      <c r="A30" s="104" t="str">
        <f>HYPERLINK("https://www.examplebusiness.com/blog/getting-a-jump-on-january-tax-season","https://www.examplebusiness.com/blog/getting-a-jump-on-january-tax-season")</f>
        <v>https://www.examplebusiness.com/blog/getting-a-jump-on-january-tax-season</v>
      </c>
      <c r="B30" s="34">
        <v>200</v>
      </c>
      <c r="C30" s="34"/>
      <c r="D30" s="20" t="s">
        <v>2078</v>
      </c>
      <c r="E30" s="34" t="s">
        <v>691</v>
      </c>
      <c r="F30" s="34">
        <v>52</v>
      </c>
      <c r="G30" s="34">
        <v>479</v>
      </c>
      <c r="H30" s="20"/>
      <c r="I30" s="20"/>
      <c r="J30" s="34" t="s">
        <v>694</v>
      </c>
      <c r="K30" s="34">
        <v>0</v>
      </c>
      <c r="L30" s="34">
        <v>0</v>
      </c>
      <c r="M30" s="20"/>
      <c r="N30" s="102" t="s">
        <v>733</v>
      </c>
      <c r="O30" s="20"/>
      <c r="P30" s="20" t="s">
        <v>734</v>
      </c>
      <c r="Q30" s="20" t="s">
        <v>735</v>
      </c>
      <c r="R30" s="20"/>
      <c r="S30" s="34">
        <v>659</v>
      </c>
    </row>
    <row r="31" spans="1:19" ht="16.5" x14ac:dyDescent="0.35">
      <c r="A31" s="104" t="str">
        <f>HYPERLINK("https://www.examplebusiness.com/blog/getting-started-establishing-a-Example-safety-net","https://www.examplebusiness.com/blog/getting-started-establishing-a-Example-safety-net")</f>
        <v>https://www.examplebusiness.com/blog/getting-started-establishing-a-Example-safety-net</v>
      </c>
      <c r="B31" s="34">
        <v>200</v>
      </c>
      <c r="C31" s="34"/>
      <c r="D31" s="20" t="s">
        <v>2506</v>
      </c>
      <c r="E31" s="34" t="s">
        <v>691</v>
      </c>
      <c r="F31" s="34">
        <v>68</v>
      </c>
      <c r="G31" s="34">
        <v>582</v>
      </c>
      <c r="H31" s="20"/>
      <c r="I31" s="20" t="s">
        <v>2507</v>
      </c>
      <c r="J31" s="34" t="s">
        <v>691</v>
      </c>
      <c r="K31" s="34">
        <v>118</v>
      </c>
      <c r="L31" s="34">
        <v>735</v>
      </c>
      <c r="M31" s="20"/>
      <c r="N31" s="102" t="s">
        <v>2508</v>
      </c>
      <c r="O31" s="20"/>
      <c r="P31" s="20" t="s">
        <v>736</v>
      </c>
      <c r="Q31" s="20" t="s">
        <v>737</v>
      </c>
      <c r="R31" s="20"/>
      <c r="S31" s="34">
        <v>635</v>
      </c>
    </row>
    <row r="32" spans="1:19" ht="16.5" x14ac:dyDescent="0.35">
      <c r="A32" s="104" t="str">
        <f>HYPERLINK("https://www.examplebusiness.com/blog/have-stay-at-home-growth-stocks-peaked","https://www.examplebusiness.com/blog/have-stay-at-home-growth-stocks-peaked")</f>
        <v>https://www.examplebusiness.com/blog/have-stay-at-home-growth-stocks-peaked</v>
      </c>
      <c r="B32" s="34">
        <v>200</v>
      </c>
      <c r="C32" s="34"/>
      <c r="D32" s="20" t="s">
        <v>2079</v>
      </c>
      <c r="E32" s="34" t="s">
        <v>691</v>
      </c>
      <c r="F32" s="34">
        <v>55</v>
      </c>
      <c r="G32" s="34">
        <v>528</v>
      </c>
      <c r="H32" s="20"/>
      <c r="I32" s="20"/>
      <c r="J32" s="34" t="s">
        <v>694</v>
      </c>
      <c r="K32" s="34">
        <v>0</v>
      </c>
      <c r="L32" s="34">
        <v>0</v>
      </c>
      <c r="M32" s="20"/>
      <c r="N32" s="102" t="s">
        <v>738</v>
      </c>
      <c r="O32" s="20"/>
      <c r="P32" s="20"/>
      <c r="Q32" s="20"/>
      <c r="R32" s="20"/>
      <c r="S32" s="34">
        <v>742</v>
      </c>
    </row>
    <row r="33" spans="1:19" ht="16.5" x14ac:dyDescent="0.35">
      <c r="A33" s="104" t="str">
        <f>HYPERLINK("https://www.examplebusiness.com/blog/how-a-Example-professional-can-guide-you-through-choppy-seas","https://www.examplebusiness.com/blog/how-a-Example-professional-can-guide-you-through-choppy-seas")</f>
        <v>https://www.examplebusiness.com/blog/how-a-Example-professional-can-guide-you-through-choppy-seas</v>
      </c>
      <c r="B33" s="34">
        <v>200</v>
      </c>
      <c r="C33" s="34"/>
      <c r="D33" s="20" t="s">
        <v>2509</v>
      </c>
      <c r="E33" s="34" t="s">
        <v>691</v>
      </c>
      <c r="F33" s="34">
        <v>78</v>
      </c>
      <c r="G33" s="34">
        <v>726</v>
      </c>
      <c r="H33" s="20"/>
      <c r="I33" s="20" t="s">
        <v>739</v>
      </c>
      <c r="J33" s="34" t="s">
        <v>691</v>
      </c>
      <c r="K33" s="34">
        <v>134</v>
      </c>
      <c r="L33" s="34">
        <v>812</v>
      </c>
      <c r="M33" s="20"/>
      <c r="N33" s="102" t="s">
        <v>2510</v>
      </c>
      <c r="O33" s="20"/>
      <c r="P33" s="20"/>
      <c r="Q33" s="20"/>
      <c r="R33" s="20"/>
      <c r="S33" s="34">
        <v>587</v>
      </c>
    </row>
    <row r="34" spans="1:19" ht="16.5" x14ac:dyDescent="0.35">
      <c r="A34" s="104" t="str">
        <f>HYPERLINK("https://www.examplebusiness.com/blog/how-our-economy-can-bounce-back","https://www.examplebusiness.com/blog/how-our-economy-can-bounce-back")</f>
        <v>https://www.examplebusiness.com/blog/how-our-economy-can-bounce-back</v>
      </c>
      <c r="B34" s="34">
        <v>200</v>
      </c>
      <c r="C34" s="34"/>
      <c r="D34" s="20" t="s">
        <v>2080</v>
      </c>
      <c r="E34" s="34" t="s">
        <v>691</v>
      </c>
      <c r="F34" s="34">
        <v>47</v>
      </c>
      <c r="G34" s="34">
        <v>460</v>
      </c>
      <c r="H34" s="20"/>
      <c r="I34" s="20"/>
      <c r="J34" s="34" t="s">
        <v>694</v>
      </c>
      <c r="K34" s="34">
        <v>0</v>
      </c>
      <c r="L34" s="34">
        <v>0</v>
      </c>
      <c r="M34" s="20"/>
      <c r="N34" s="102" t="s">
        <v>740</v>
      </c>
      <c r="O34" s="20"/>
      <c r="P34" s="20"/>
      <c r="Q34" s="20"/>
      <c r="R34" s="20"/>
      <c r="S34" s="34">
        <v>622</v>
      </c>
    </row>
    <row r="35" spans="1:19" ht="16.5" x14ac:dyDescent="0.35">
      <c r="A35" s="104" t="str">
        <f>HYPERLINK("https://www.examplebusiness.com/blog/how-quickly-can-stocks-recover-from-covid-19","https://www.examplebusiness.com/blog/how-quickly-can-stocks-recover-from-covid-19")</f>
        <v>https://www.examplebusiness.com/blog/how-quickly-can-stocks-recover-from-covid-19</v>
      </c>
      <c r="B35" s="34">
        <v>200</v>
      </c>
      <c r="C35" s="34"/>
      <c r="D35" s="20" t="s">
        <v>2081</v>
      </c>
      <c r="E35" s="34" t="s">
        <v>691</v>
      </c>
      <c r="F35" s="34">
        <v>61</v>
      </c>
      <c r="G35" s="34">
        <v>589</v>
      </c>
      <c r="H35" s="20"/>
      <c r="I35" s="20" t="s">
        <v>2082</v>
      </c>
      <c r="J35" s="34" t="s">
        <v>691</v>
      </c>
      <c r="K35" s="34">
        <v>89</v>
      </c>
      <c r="L35" s="34">
        <v>570</v>
      </c>
      <c r="M35" s="20"/>
      <c r="N35" s="102" t="s">
        <v>741</v>
      </c>
      <c r="O35" s="20"/>
      <c r="P35" s="20"/>
      <c r="Q35" s="20"/>
      <c r="R35" s="20"/>
      <c r="S35" s="34">
        <v>698</v>
      </c>
    </row>
    <row r="36" spans="1:19" ht="16.5" x14ac:dyDescent="0.35">
      <c r="A36" s="104" t="str">
        <f>HYPERLINK("https://www.examplebusiness.com/blog/how-to-protect-your-wealth-as-you-get-older","https://www.examplebusiness.com/blog/how-to-protect-your-wealth-as-you-get-older")</f>
        <v>https://www.examplebusiness.com/blog/how-to-protect-your-wealth-as-you-get-older</v>
      </c>
      <c r="B36" s="34">
        <v>200</v>
      </c>
      <c r="C36" s="34"/>
      <c r="D36" s="20" t="s">
        <v>2083</v>
      </c>
      <c r="E36" s="34" t="s">
        <v>691</v>
      </c>
      <c r="F36" s="34">
        <v>59</v>
      </c>
      <c r="G36" s="34">
        <v>542</v>
      </c>
      <c r="H36" s="20"/>
      <c r="I36" s="20"/>
      <c r="J36" s="34" t="s">
        <v>694</v>
      </c>
      <c r="K36" s="34">
        <v>0</v>
      </c>
      <c r="L36" s="34">
        <v>0</v>
      </c>
      <c r="M36" s="20"/>
      <c r="N36" s="102" t="s">
        <v>742</v>
      </c>
      <c r="O36" s="20"/>
      <c r="P36" s="20" t="s">
        <v>743</v>
      </c>
      <c r="Q36" s="20"/>
      <c r="R36" s="20"/>
      <c r="S36" s="34">
        <v>702</v>
      </c>
    </row>
    <row r="37" spans="1:19" ht="16.5" x14ac:dyDescent="0.35">
      <c r="A37" s="104" t="str">
        <f>HYPERLINK("https://www.examplebusiness.com/blog/how-to-reduce-retirement-anxiety","https://www.examplebusiness.com/blog/how-to-reduce-retirement-anxiety")</f>
        <v>https://www.examplebusiness.com/blog/how-to-reduce-retirement-anxiety</v>
      </c>
      <c r="B37" s="34">
        <v>200</v>
      </c>
      <c r="C37" s="34"/>
      <c r="D37" s="20" t="s">
        <v>2084</v>
      </c>
      <c r="E37" s="34" t="s">
        <v>691</v>
      </c>
      <c r="F37" s="34">
        <v>48</v>
      </c>
      <c r="G37" s="34">
        <v>439</v>
      </c>
      <c r="H37" s="20"/>
      <c r="I37" s="20"/>
      <c r="J37" s="34" t="s">
        <v>694</v>
      </c>
      <c r="K37" s="34">
        <v>0</v>
      </c>
      <c r="L37" s="34">
        <v>0</v>
      </c>
      <c r="M37" s="20"/>
      <c r="N37" s="102" t="s">
        <v>744</v>
      </c>
      <c r="O37" s="20"/>
      <c r="P37" s="20"/>
      <c r="Q37" s="20"/>
      <c r="R37" s="20"/>
      <c r="S37" s="34">
        <v>713</v>
      </c>
    </row>
    <row r="38" spans="1:19" ht="16.5" x14ac:dyDescent="0.35">
      <c r="A38" s="104" t="str">
        <f>HYPERLINK("https://www.examplebusiness.com/blog/invest-your-tax-refund","https://www.examplebusiness.com/blog/invest-your-tax-refund")</f>
        <v>https://www.examplebusiness.com/blog/invest-your-tax-refund</v>
      </c>
      <c r="B38" s="34">
        <v>200</v>
      </c>
      <c r="C38" s="34"/>
      <c r="D38" s="20" t="s">
        <v>2085</v>
      </c>
      <c r="E38" s="34" t="s">
        <v>691</v>
      </c>
      <c r="F38" s="34">
        <v>38</v>
      </c>
      <c r="G38" s="34">
        <v>339</v>
      </c>
      <c r="H38" s="20"/>
      <c r="I38" s="20"/>
      <c r="J38" s="34" t="s">
        <v>694</v>
      </c>
      <c r="K38" s="34">
        <v>0</v>
      </c>
      <c r="L38" s="34">
        <v>0</v>
      </c>
      <c r="M38" s="20"/>
      <c r="N38" s="102" t="s">
        <v>745</v>
      </c>
      <c r="O38" s="20"/>
      <c r="P38" s="20"/>
      <c r="Q38" s="20"/>
      <c r="R38" s="20"/>
      <c r="S38" s="34">
        <v>740</v>
      </c>
    </row>
    <row r="39" spans="1:19" ht="16.5" x14ac:dyDescent="0.35">
      <c r="A39" s="104" t="str">
        <f>HYPERLINK("https://www.examplebusiness.com/blog/investing-in-an-election-year","https://www.examplebusiness.com/blog/investing-in-an-election-year")</f>
        <v>https://www.examplebusiness.com/blog/investing-in-an-election-year</v>
      </c>
      <c r="B39" s="34">
        <v>200</v>
      </c>
      <c r="C39" s="34"/>
      <c r="D39" s="20" t="s">
        <v>2086</v>
      </c>
      <c r="E39" s="34" t="s">
        <v>691</v>
      </c>
      <c r="F39" s="34">
        <v>45</v>
      </c>
      <c r="G39" s="34">
        <v>381</v>
      </c>
      <c r="H39" s="20"/>
      <c r="I39" s="20"/>
      <c r="J39" s="34" t="s">
        <v>694</v>
      </c>
      <c r="K39" s="34">
        <v>0</v>
      </c>
      <c r="L39" s="34">
        <v>0</v>
      </c>
      <c r="M39" s="20"/>
      <c r="N39" s="102" t="s">
        <v>746</v>
      </c>
      <c r="O39" s="20"/>
      <c r="P39" s="20" t="s">
        <v>747</v>
      </c>
      <c r="Q39" s="20" t="s">
        <v>2511</v>
      </c>
      <c r="R39" s="20"/>
      <c r="S39" s="34">
        <v>682</v>
      </c>
    </row>
    <row r="40" spans="1:19" ht="16.5" x14ac:dyDescent="0.35">
      <c r="A40" s="104" t="str">
        <f>HYPERLINK("https://www.examplebusiness.com/blog/ira-vs-401k-what-savers-should-know","https://www.examplebusiness.com/blog/ira-vs-401k-what-savers-should-know")</f>
        <v>https://www.examplebusiness.com/blog/ira-vs-401k-what-savers-should-know</v>
      </c>
      <c r="B40" s="34">
        <v>200</v>
      </c>
      <c r="C40" s="34"/>
      <c r="D40" s="20" t="s">
        <v>2087</v>
      </c>
      <c r="E40" s="34" t="s">
        <v>691</v>
      </c>
      <c r="F40" s="34">
        <v>55</v>
      </c>
      <c r="G40" s="34">
        <v>505</v>
      </c>
      <c r="H40" s="20"/>
      <c r="I40" s="20"/>
      <c r="J40" s="34" t="s">
        <v>694</v>
      </c>
      <c r="K40" s="34">
        <v>0</v>
      </c>
      <c r="L40" s="34">
        <v>0</v>
      </c>
      <c r="M40" s="20"/>
      <c r="N40" s="102" t="s">
        <v>699</v>
      </c>
      <c r="O40" s="20"/>
      <c r="P40" s="20"/>
      <c r="Q40" s="20"/>
      <c r="R40" s="20"/>
      <c r="S40" s="34">
        <v>862</v>
      </c>
    </row>
    <row r="41" spans="1:19" ht="16.5" x14ac:dyDescent="0.35">
      <c r="A41" s="104" t="str">
        <f>HYPERLINK("https://www.examplebusiness.com/blog/is-a-depression-coming","https://www.examplebusiness.com/blog/is-a-depression-coming")</f>
        <v>https://www.examplebusiness.com/blog/is-a-depression-coming</v>
      </c>
      <c r="B41" s="34">
        <v>200</v>
      </c>
      <c r="C41" s="34"/>
      <c r="D41" s="20" t="s">
        <v>2088</v>
      </c>
      <c r="E41" s="34" t="s">
        <v>691</v>
      </c>
      <c r="F41" s="34">
        <v>39</v>
      </c>
      <c r="G41" s="34">
        <v>354</v>
      </c>
      <c r="H41" s="20"/>
      <c r="I41" s="20"/>
      <c r="J41" s="34" t="s">
        <v>694</v>
      </c>
      <c r="K41" s="34">
        <v>0</v>
      </c>
      <c r="L41" s="34">
        <v>0</v>
      </c>
      <c r="M41" s="20"/>
      <c r="N41" s="102" t="s">
        <v>748</v>
      </c>
      <c r="O41" s="20"/>
      <c r="P41" s="20"/>
      <c r="Q41" s="20"/>
      <c r="R41" s="20"/>
      <c r="S41" s="34">
        <v>645</v>
      </c>
    </row>
    <row r="42" spans="1:19" ht="16.5" x14ac:dyDescent="0.35">
      <c r="A42" s="104" t="str">
        <f>HYPERLINK("https://www.examplebusiness.com/blog/key-tax-deadlines-for-2021","https://www.examplebusiness.com/blog/key-tax-deadlines-for-2021")</f>
        <v>https://www.examplebusiness.com/blog/key-tax-deadlines-for-2021</v>
      </c>
      <c r="B42" s="34">
        <v>200</v>
      </c>
      <c r="C42" s="34"/>
      <c r="D42" s="20" t="s">
        <v>2089</v>
      </c>
      <c r="E42" s="34" t="s">
        <v>691</v>
      </c>
      <c r="F42" s="34">
        <v>42</v>
      </c>
      <c r="G42" s="34">
        <v>377</v>
      </c>
      <c r="H42" s="20"/>
      <c r="I42" s="20"/>
      <c r="J42" s="34" t="s">
        <v>694</v>
      </c>
      <c r="K42" s="34">
        <v>0</v>
      </c>
      <c r="L42" s="34">
        <v>0</v>
      </c>
      <c r="M42" s="20"/>
      <c r="N42" s="102" t="s">
        <v>698</v>
      </c>
      <c r="O42" s="20"/>
      <c r="P42" s="20"/>
      <c r="Q42" s="20"/>
      <c r="R42" s="20"/>
      <c r="S42" s="34">
        <v>533</v>
      </c>
    </row>
    <row r="43" spans="1:19" ht="16.5" x14ac:dyDescent="0.35">
      <c r="A43" s="104" t="str">
        <f>HYPERLINK("https://www.examplebusiness.com/blog/market-volatility-stresses-liquidity","https://www.examplebusiness.com/blog/market-volatility-stresses-liquidity")</f>
        <v>https://www.examplebusiness.com/blog/market-volatility-stresses-liquidity</v>
      </c>
      <c r="B43" s="34">
        <v>200</v>
      </c>
      <c r="C43" s="34"/>
      <c r="D43" s="20" t="s">
        <v>2090</v>
      </c>
      <c r="E43" s="34" t="s">
        <v>691</v>
      </c>
      <c r="F43" s="34">
        <v>61</v>
      </c>
      <c r="G43" s="34">
        <v>533</v>
      </c>
      <c r="H43" s="20"/>
      <c r="I43" s="20" t="s">
        <v>2091</v>
      </c>
      <c r="J43" s="34" t="s">
        <v>691</v>
      </c>
      <c r="K43" s="34">
        <v>132</v>
      </c>
      <c r="L43" s="34">
        <v>853</v>
      </c>
      <c r="M43" s="20"/>
      <c r="N43" s="102" t="s">
        <v>749</v>
      </c>
      <c r="O43" s="20"/>
      <c r="P43" s="20"/>
      <c r="Q43" s="20"/>
      <c r="R43" s="20"/>
      <c r="S43" s="34">
        <v>892</v>
      </c>
    </row>
    <row r="44" spans="1:19" ht="16.5" x14ac:dyDescent="0.35">
      <c r="A44" s="104" t="str">
        <f>HYPERLINK("https://www.examplebusiness.com/blog/mid-term-market-volatility","https://www.examplebusiness.com/blog/mid-term-market-volatility")</f>
        <v>https://www.examplebusiness.com/blog/mid-term-market-volatility</v>
      </c>
      <c r="B44" s="34">
        <v>200</v>
      </c>
      <c r="C44" s="34"/>
      <c r="D44" s="20" t="s">
        <v>750</v>
      </c>
      <c r="E44" s="34" t="s">
        <v>691</v>
      </c>
      <c r="F44" s="34">
        <v>26</v>
      </c>
      <c r="G44" s="34">
        <v>232</v>
      </c>
      <c r="H44" s="20"/>
      <c r="I44" s="20"/>
      <c r="J44" s="34" t="s">
        <v>694</v>
      </c>
      <c r="K44" s="34">
        <v>0</v>
      </c>
      <c r="L44" s="34">
        <v>0</v>
      </c>
      <c r="M44" s="20"/>
      <c r="N44" s="102" t="s">
        <v>751</v>
      </c>
      <c r="O44" s="20"/>
      <c r="P44" s="20"/>
      <c r="Q44" s="20"/>
      <c r="R44" s="20"/>
      <c r="S44" s="34">
        <v>1482</v>
      </c>
    </row>
    <row r="45" spans="1:19" ht="16.5" x14ac:dyDescent="0.35">
      <c r="A45" s="104" t="str">
        <f>HYPERLINK("https://www.examplebusiness.com/blog/mid-year-outlook-2019","https://www.examplebusiness.com/blog/mid-year-outlook-2019")</f>
        <v>https://www.examplebusiness.com/blog/mid-year-outlook-2019</v>
      </c>
      <c r="B45" s="34">
        <v>200</v>
      </c>
      <c r="C45" s="34"/>
      <c r="D45" s="20" t="s">
        <v>2092</v>
      </c>
      <c r="E45" s="34" t="s">
        <v>691</v>
      </c>
      <c r="F45" s="34">
        <v>37</v>
      </c>
      <c r="G45" s="34">
        <v>339</v>
      </c>
      <c r="H45" s="20"/>
      <c r="I45" s="20"/>
      <c r="J45" s="34" t="s">
        <v>694</v>
      </c>
      <c r="K45" s="34">
        <v>0</v>
      </c>
      <c r="L45" s="34">
        <v>0</v>
      </c>
      <c r="M45" s="20"/>
      <c r="N45" s="102" t="s">
        <v>752</v>
      </c>
      <c r="O45" s="20"/>
      <c r="P45" s="20"/>
      <c r="Q45" s="20"/>
      <c r="R45" s="20"/>
      <c r="S45" s="34">
        <v>664</v>
      </c>
    </row>
    <row r="46" spans="1:19" ht="16.5" x14ac:dyDescent="0.35">
      <c r="A46" s="104" t="str">
        <f>HYPERLINK("https://www.examplebusiness.com/blog/new-years-resolutions-to-get-your-finances-in-order","https://www.examplebusiness.com/blog/new-years-resolutions-to-get-your-finances-in-order")</f>
        <v>https://www.examplebusiness.com/blog/new-years-resolutions-to-get-your-finances-in-order</v>
      </c>
      <c r="B46" s="34">
        <v>200</v>
      </c>
      <c r="C46" s="34"/>
      <c r="D46" s="20" t="s">
        <v>2093</v>
      </c>
      <c r="E46" s="34" t="s">
        <v>691</v>
      </c>
      <c r="F46" s="34">
        <v>68</v>
      </c>
      <c r="G46" s="34">
        <v>614</v>
      </c>
      <c r="H46" s="20"/>
      <c r="I46" s="20"/>
      <c r="J46" s="34" t="s">
        <v>694</v>
      </c>
      <c r="K46" s="34">
        <v>0</v>
      </c>
      <c r="L46" s="34">
        <v>0</v>
      </c>
      <c r="M46" s="20"/>
      <c r="N46" s="102" t="s">
        <v>753</v>
      </c>
      <c r="O46" s="20"/>
      <c r="P46" s="20"/>
      <c r="Q46" s="20"/>
      <c r="R46" s="20"/>
      <c r="S46" s="34">
        <v>599</v>
      </c>
    </row>
    <row r="47" spans="1:19" ht="16.5" x14ac:dyDescent="0.35">
      <c r="A47" s="104" t="str">
        <f>HYPERLINK("https://www.examplebusiness.com/blog/positive-signs-from-china-on-covid-19","https://www.examplebusiness.com/blog/positive-signs-from-china-on-covid-19")</f>
        <v>https://www.examplebusiness.com/blog/positive-signs-from-china-on-covid-19</v>
      </c>
      <c r="B47" s="34">
        <v>200</v>
      </c>
      <c r="C47" s="34"/>
      <c r="D47" s="20" t="s">
        <v>2094</v>
      </c>
      <c r="E47" s="34" t="s">
        <v>691</v>
      </c>
      <c r="F47" s="34">
        <v>53</v>
      </c>
      <c r="G47" s="34">
        <v>487</v>
      </c>
      <c r="H47" s="20"/>
      <c r="I47" s="20"/>
      <c r="J47" s="34" t="s">
        <v>694</v>
      </c>
      <c r="K47" s="34">
        <v>0</v>
      </c>
      <c r="L47" s="34">
        <v>0</v>
      </c>
      <c r="M47" s="20"/>
      <c r="N47" s="102" t="s">
        <v>754</v>
      </c>
      <c r="O47" s="20"/>
      <c r="P47" s="20"/>
      <c r="Q47" s="20"/>
      <c r="R47" s="20"/>
      <c r="S47" s="34">
        <v>747</v>
      </c>
    </row>
    <row r="48" spans="1:19" ht="16.5" x14ac:dyDescent="0.35">
      <c r="A48" s="104" t="str">
        <f>HYPERLINK("https://www.examplebusiness.com/blog/pulse-check-should-you-ignore-the-economic-data-and-pullback-odds-are-incr","https://www.examplebusiness.com/blog/pulse-check-should-you-ignore-the-economic-data-and-pullback-odds-are-incr")</f>
        <v>https://www.examplebusiness.com/blog/pulse-check-should-you-ignore-the-economic-data-and-pullback-odds-are-incr</v>
      </c>
      <c r="B48" s="34">
        <v>200</v>
      </c>
      <c r="C48" s="34"/>
      <c r="D48" s="20" t="s">
        <v>2095</v>
      </c>
      <c r="E48" s="34" t="s">
        <v>691</v>
      </c>
      <c r="F48" s="34">
        <v>97</v>
      </c>
      <c r="G48" s="34">
        <v>892</v>
      </c>
      <c r="H48" s="20"/>
      <c r="I48" s="20" t="s">
        <v>755</v>
      </c>
      <c r="J48" s="34" t="s">
        <v>691</v>
      </c>
      <c r="K48" s="34">
        <v>118</v>
      </c>
      <c r="L48" s="34">
        <v>747</v>
      </c>
      <c r="M48" s="20"/>
      <c r="N48" s="102" t="s">
        <v>756</v>
      </c>
      <c r="O48" s="20"/>
      <c r="P48" s="20"/>
      <c r="Q48" s="20"/>
      <c r="R48" s="20"/>
      <c r="S48" s="34">
        <v>620</v>
      </c>
    </row>
    <row r="49" spans="1:19" ht="16.5" x14ac:dyDescent="0.35">
      <c r="A49" s="104" t="str">
        <f>HYPERLINK("https://www.examplebusiness.com/blog/putting-things-in-perspective","https://www.examplebusiness.com/blog/putting-things-in-perspective")</f>
        <v>https://www.examplebusiness.com/blog/putting-things-in-perspective</v>
      </c>
      <c r="B49" s="34">
        <v>200</v>
      </c>
      <c r="C49" s="34"/>
      <c r="D49" s="20" t="s">
        <v>2096</v>
      </c>
      <c r="E49" s="34" t="s">
        <v>691</v>
      </c>
      <c r="F49" s="34">
        <v>45</v>
      </c>
      <c r="G49" s="34">
        <v>385</v>
      </c>
      <c r="H49" s="20"/>
      <c r="I49" s="20"/>
      <c r="J49" s="34" t="s">
        <v>694</v>
      </c>
      <c r="K49" s="34">
        <v>0</v>
      </c>
      <c r="L49" s="34">
        <v>0</v>
      </c>
      <c r="M49" s="20"/>
      <c r="N49" s="102" t="s">
        <v>757</v>
      </c>
      <c r="O49" s="20"/>
      <c r="P49" s="20"/>
      <c r="Q49" s="20"/>
      <c r="R49" s="20"/>
      <c r="S49" s="34">
        <v>544</v>
      </c>
    </row>
    <row r="50" spans="1:19" ht="16.5" x14ac:dyDescent="0.35">
      <c r="A50" s="104" t="str">
        <f>HYPERLINK("https://www.examplebusiness.com/blog/qa-on-the-trade-war-with-china","https://www.examplebusiness.com/blog/qa-on-the-trade-war-with-china")</f>
        <v>https://www.examplebusiness.com/blog/qa-on-the-trade-war-with-china</v>
      </c>
      <c r="B50" s="34">
        <v>200</v>
      </c>
      <c r="C50" s="34"/>
      <c r="D50" s="20" t="s">
        <v>2097</v>
      </c>
      <c r="E50" s="34" t="s">
        <v>691</v>
      </c>
      <c r="F50" s="34">
        <v>47</v>
      </c>
      <c r="G50" s="34">
        <v>432</v>
      </c>
      <c r="H50" s="20"/>
      <c r="I50" s="20"/>
      <c r="J50" s="34" t="s">
        <v>694</v>
      </c>
      <c r="K50" s="34">
        <v>0</v>
      </c>
      <c r="L50" s="34">
        <v>0</v>
      </c>
      <c r="M50" s="20"/>
      <c r="N50" s="102" t="s">
        <v>758</v>
      </c>
      <c r="O50" s="20"/>
      <c r="P50" s="20"/>
      <c r="Q50" s="20"/>
      <c r="R50" s="20"/>
      <c r="S50" s="34">
        <v>1710</v>
      </c>
    </row>
    <row r="51" spans="1:19" ht="16.5" x14ac:dyDescent="0.35">
      <c r="A51" s="104" t="str">
        <f>HYPERLINK("https://www.examplebusiness.com/blog/recognizing-and-avoiding-online-scams","https://www.examplebusiness.com/blog/recognizing-and-avoiding-online-scams")</f>
        <v>https://www.examplebusiness.com/blog/recognizing-and-avoiding-online-scams</v>
      </c>
      <c r="B51" s="34">
        <v>200</v>
      </c>
      <c r="C51" s="34"/>
      <c r="D51" s="20" t="s">
        <v>2098</v>
      </c>
      <c r="E51" s="34" t="s">
        <v>691</v>
      </c>
      <c r="F51" s="34">
        <v>53</v>
      </c>
      <c r="G51" s="34">
        <v>482</v>
      </c>
      <c r="H51" s="20"/>
      <c r="I51" s="20"/>
      <c r="J51" s="34" t="s">
        <v>694</v>
      </c>
      <c r="K51" s="34">
        <v>0</v>
      </c>
      <c r="L51" s="34">
        <v>0</v>
      </c>
      <c r="M51" s="20"/>
      <c r="N51" s="102" t="s">
        <v>759</v>
      </c>
      <c r="O51" s="20"/>
      <c r="P51" s="20"/>
      <c r="Q51" s="20"/>
      <c r="R51" s="20"/>
      <c r="S51" s="34">
        <v>795</v>
      </c>
    </row>
    <row r="52" spans="1:19" ht="16.5" x14ac:dyDescent="0.35">
      <c r="A52" s="104" t="str">
        <f>HYPERLINK("https://www.examplebusiness.com/blog/resilience-perseverance-and-innovation","https://www.examplebusiness.com/blog/resilience-perseverance-and-innovation")</f>
        <v>https://www.examplebusiness.com/blog/resilience-perseverance-and-innovation</v>
      </c>
      <c r="B52" s="34">
        <v>200</v>
      </c>
      <c r="C52" s="34"/>
      <c r="D52" s="20" t="s">
        <v>2099</v>
      </c>
      <c r="E52" s="34" t="s">
        <v>691</v>
      </c>
      <c r="F52" s="34">
        <v>56</v>
      </c>
      <c r="G52" s="34">
        <v>493</v>
      </c>
      <c r="H52" s="20"/>
      <c r="I52" s="20"/>
      <c r="J52" s="34" t="s">
        <v>694</v>
      </c>
      <c r="K52" s="34">
        <v>0</v>
      </c>
      <c r="L52" s="34">
        <v>0</v>
      </c>
      <c r="M52" s="20"/>
      <c r="N52" s="102" t="s">
        <v>760</v>
      </c>
      <c r="O52" s="20"/>
      <c r="P52" s="20"/>
      <c r="Q52" s="20"/>
      <c r="R52" s="20"/>
      <c r="S52" s="34">
        <v>515</v>
      </c>
    </row>
    <row r="53" spans="1:19" ht="16.5" x14ac:dyDescent="0.35">
      <c r="A53" s="104" t="str">
        <f>HYPERLINK("https://www.examplebusiness.com/blog/retirement-income-planning","https://www.examplebusiness.com/blog/retirement-income-planning")</f>
        <v>https://www.examplebusiness.com/blog/retirement-income-planning</v>
      </c>
      <c r="B53" s="34">
        <v>200</v>
      </c>
      <c r="C53" s="34"/>
      <c r="D53" s="20" t="s">
        <v>2100</v>
      </c>
      <c r="E53" s="34" t="s">
        <v>691</v>
      </c>
      <c r="F53" s="34">
        <v>42</v>
      </c>
      <c r="G53" s="34">
        <v>378</v>
      </c>
      <c r="H53" s="20"/>
      <c r="I53" s="20"/>
      <c r="J53" s="34" t="s">
        <v>694</v>
      </c>
      <c r="K53" s="34">
        <v>0</v>
      </c>
      <c r="L53" s="34">
        <v>0</v>
      </c>
      <c r="M53" s="20"/>
      <c r="N53" s="102" t="s">
        <v>761</v>
      </c>
      <c r="O53" s="20"/>
      <c r="P53" s="20"/>
      <c r="Q53" s="20"/>
      <c r="R53" s="20"/>
      <c r="S53" s="34">
        <v>682</v>
      </c>
    </row>
    <row r="54" spans="1:19" ht="16.5" x14ac:dyDescent="0.35">
      <c r="A54" s="104" t="str">
        <f>HYPERLINK("https://www.examplebusiness.com/blog/social-security-and-medicare-face-Example-challenges","https://www.examplebusiness.com/blog/social-security-and-medicare-face-Example-challenges")</f>
        <v>https://www.examplebusiness.com/blog/social-security-and-medicare-face-Example-challenges</v>
      </c>
      <c r="B54" s="34">
        <v>200</v>
      </c>
      <c r="C54" s="34"/>
      <c r="D54" s="20" t="s">
        <v>2512</v>
      </c>
      <c r="E54" s="34" t="s">
        <v>691</v>
      </c>
      <c r="F54" s="34">
        <v>70</v>
      </c>
      <c r="G54" s="34">
        <v>623</v>
      </c>
      <c r="H54" s="20"/>
      <c r="I54" s="20" t="s">
        <v>762</v>
      </c>
      <c r="J54" s="34" t="s">
        <v>691</v>
      </c>
      <c r="K54" s="34">
        <v>90</v>
      </c>
      <c r="L54" s="34">
        <v>556</v>
      </c>
      <c r="M54" s="20"/>
      <c r="N54" s="102" t="s">
        <v>2513</v>
      </c>
      <c r="O54" s="20"/>
      <c r="P54" s="20" t="s">
        <v>763</v>
      </c>
      <c r="Q54" s="20" t="s">
        <v>764</v>
      </c>
      <c r="R54" s="20"/>
      <c r="S54" s="34">
        <v>1108</v>
      </c>
    </row>
    <row r="55" spans="1:19" ht="16.5" x14ac:dyDescent="0.35">
      <c r="A55" s="104" t="str">
        <f>HYPERLINK("https://www.examplebusiness.com/blog/socially-responsible-investing","https://www.examplebusiness.com/blog/socially-responsible-investing")</f>
        <v>https://www.examplebusiness.com/blog/socially-responsible-investing</v>
      </c>
      <c r="B55" s="34">
        <v>200</v>
      </c>
      <c r="C55" s="34"/>
      <c r="D55" s="20" t="s">
        <v>2101</v>
      </c>
      <c r="E55" s="34" t="s">
        <v>691</v>
      </c>
      <c r="F55" s="34">
        <v>46</v>
      </c>
      <c r="G55" s="34">
        <v>396</v>
      </c>
      <c r="H55" s="20"/>
      <c r="I55" s="20" t="s">
        <v>765</v>
      </c>
      <c r="J55" s="34" t="s">
        <v>691</v>
      </c>
      <c r="K55" s="34">
        <v>146</v>
      </c>
      <c r="L55" s="34">
        <v>955</v>
      </c>
      <c r="M55" s="20"/>
      <c r="N55" s="102" t="s">
        <v>766</v>
      </c>
      <c r="O55" s="20"/>
      <c r="P55" s="20" t="s">
        <v>767</v>
      </c>
      <c r="Q55" s="20" t="s">
        <v>768</v>
      </c>
      <c r="R55" s="20"/>
      <c r="S55" s="34">
        <v>1272</v>
      </c>
    </row>
    <row r="56" spans="1:19" ht="16.5" x14ac:dyDescent="0.35">
      <c r="A56" s="104" t="str">
        <f>HYPERLINK("https://www.examplebusiness.com/blog/surviving-the-holiday-spending-seasondebt-free","https://www.examplebusiness.com/blog/surviving-the-holiday-spending-seasondebt-free")</f>
        <v>https://www.examplebusiness.com/blog/surviving-the-holiday-spending-seasondebt-free</v>
      </c>
      <c r="B56" s="34">
        <v>200</v>
      </c>
      <c r="C56" s="34"/>
      <c r="D56" s="20" t="s">
        <v>2102</v>
      </c>
      <c r="E56" s="34" t="s">
        <v>691</v>
      </c>
      <c r="F56" s="34">
        <v>64</v>
      </c>
      <c r="G56" s="34">
        <v>587</v>
      </c>
      <c r="H56" s="20"/>
      <c r="I56" s="20"/>
      <c r="J56" s="34" t="s">
        <v>694</v>
      </c>
      <c r="K56" s="34">
        <v>0</v>
      </c>
      <c r="L56" s="34">
        <v>0</v>
      </c>
      <c r="M56" s="20"/>
      <c r="N56" s="102" t="s">
        <v>769</v>
      </c>
      <c r="O56" s="20"/>
      <c r="P56" s="20"/>
      <c r="Q56" s="20"/>
      <c r="R56" s="20"/>
      <c r="S56" s="34">
        <v>368</v>
      </c>
    </row>
    <row r="57" spans="1:19" ht="16.5" x14ac:dyDescent="0.35">
      <c r="A57" s="104" t="str">
        <f>HYPERLINK("https://www.examplebusiness.com/blog/tax-identity-theft-awareness-protecting-yourself-from-tax-identity-theft","https://www.examplebusiness.com/blog/tax-identity-theft-awareness-protecting-yourself-from-tax-identity-theft")</f>
        <v>https://www.examplebusiness.com/blog/tax-identity-theft-awareness-protecting-yourself-from-tax-identity-theft</v>
      </c>
      <c r="B57" s="34">
        <v>200</v>
      </c>
      <c r="C57" s="34"/>
      <c r="D57" s="20" t="s">
        <v>770</v>
      </c>
      <c r="E57" s="34" t="s">
        <v>691</v>
      </c>
      <c r="F57" s="34">
        <v>72</v>
      </c>
      <c r="G57" s="34">
        <v>636</v>
      </c>
      <c r="H57" s="20"/>
      <c r="I57" s="20"/>
      <c r="J57" s="34" t="s">
        <v>694</v>
      </c>
      <c r="K57" s="34">
        <v>0</v>
      </c>
      <c r="L57" s="34">
        <v>0</v>
      </c>
      <c r="M57" s="20"/>
      <c r="N57" s="102" t="s">
        <v>771</v>
      </c>
      <c r="O57" s="20"/>
      <c r="P57" s="20"/>
      <c r="Q57" s="20"/>
      <c r="R57" s="20"/>
      <c r="S57" s="34">
        <v>596</v>
      </c>
    </row>
    <row r="58" spans="1:19" ht="16.5" x14ac:dyDescent="0.35">
      <c r="A58" s="104" t="str">
        <f>HYPERLINK("https://www.examplebusiness.com/blog/tax-planning-for-business-owners","https://www.examplebusiness.com/blog/tax-planning-for-business-owners")</f>
        <v>https://www.examplebusiness.com/blog/tax-planning-for-business-owners</v>
      </c>
      <c r="B58" s="34">
        <v>200</v>
      </c>
      <c r="C58" s="34"/>
      <c r="D58" s="20" t="s">
        <v>2103</v>
      </c>
      <c r="E58" s="34" t="s">
        <v>691</v>
      </c>
      <c r="F58" s="34">
        <v>48</v>
      </c>
      <c r="G58" s="34">
        <v>433</v>
      </c>
      <c r="H58" s="20"/>
      <c r="I58" s="20" t="s">
        <v>772</v>
      </c>
      <c r="J58" s="34" t="s">
        <v>691</v>
      </c>
      <c r="K58" s="34">
        <v>128</v>
      </c>
      <c r="L58" s="34">
        <v>820</v>
      </c>
      <c r="M58" s="20"/>
      <c r="N58" s="102" t="s">
        <v>773</v>
      </c>
      <c r="O58" s="20"/>
      <c r="P58" s="20" t="s">
        <v>774</v>
      </c>
      <c r="Q58" s="20" t="s">
        <v>775</v>
      </c>
      <c r="R58" s="20"/>
      <c r="S58" s="34">
        <v>278</v>
      </c>
    </row>
    <row r="59" spans="1:19" ht="16.5" x14ac:dyDescent="0.35">
      <c r="A59" s="104" t="str">
        <f>HYPERLINK("https://www.examplebusiness.com/blog/tax-planning-for-income","https://www.examplebusiness.com/blog/tax-planning-for-income")</f>
        <v>https://www.examplebusiness.com/blog/tax-planning-for-income</v>
      </c>
      <c r="B59" s="34">
        <v>200</v>
      </c>
      <c r="C59" s="34"/>
      <c r="D59" s="20" t="s">
        <v>2104</v>
      </c>
      <c r="E59" s="34" t="s">
        <v>691</v>
      </c>
      <c r="F59" s="34">
        <v>37</v>
      </c>
      <c r="G59" s="34">
        <v>332</v>
      </c>
      <c r="H59" s="20"/>
      <c r="I59" s="20" t="s">
        <v>776</v>
      </c>
      <c r="J59" s="34" t="s">
        <v>691</v>
      </c>
      <c r="K59" s="34">
        <v>87</v>
      </c>
      <c r="L59" s="34">
        <v>543</v>
      </c>
      <c r="M59" s="20"/>
      <c r="N59" s="102" t="s">
        <v>777</v>
      </c>
      <c r="O59" s="20"/>
      <c r="P59" s="20" t="s">
        <v>778</v>
      </c>
      <c r="Q59" s="20" t="s">
        <v>779</v>
      </c>
      <c r="R59" s="20"/>
      <c r="S59" s="34">
        <v>698</v>
      </c>
    </row>
    <row r="60" spans="1:19" ht="16.5" x14ac:dyDescent="0.35">
      <c r="A60" s="104" t="str">
        <f>HYPERLINK("https://www.examplebusiness.com/blog/tax-reform-and-tax-preparation","https://www.examplebusiness.com/blog/tax-reform-and-tax-preparation")</f>
        <v>https://www.examplebusiness.com/blog/tax-reform-and-tax-preparation</v>
      </c>
      <c r="B60" s="34">
        <v>200</v>
      </c>
      <c r="C60" s="34"/>
      <c r="D60" s="20" t="s">
        <v>2105</v>
      </c>
      <c r="E60" s="34" t="s">
        <v>691</v>
      </c>
      <c r="F60" s="34">
        <v>46</v>
      </c>
      <c r="G60" s="34">
        <v>420</v>
      </c>
      <c r="H60" s="20"/>
      <c r="I60" s="20"/>
      <c r="J60" s="34" t="s">
        <v>694</v>
      </c>
      <c r="K60" s="34">
        <v>0</v>
      </c>
      <c r="L60" s="34">
        <v>0</v>
      </c>
      <c r="M60" s="20"/>
      <c r="N60" s="102" t="s">
        <v>780</v>
      </c>
      <c r="O60" s="20"/>
      <c r="P60" s="20"/>
      <c r="Q60" s="20"/>
      <c r="R60" s="20"/>
      <c r="S60" s="34">
        <v>1066</v>
      </c>
    </row>
    <row r="61" spans="1:19" ht="16.5" x14ac:dyDescent="0.35">
      <c r="A61" s="104" t="str">
        <f>HYPERLINK("https://www.examplebusiness.com/blog/teaching-money-mindfulness-to-your-children","https://www.examplebusiness.com/blog/teaching-money-mindfulness-to-your-children")</f>
        <v>https://www.examplebusiness.com/blog/teaching-money-mindfulness-to-your-children</v>
      </c>
      <c r="B61" s="34">
        <v>200</v>
      </c>
      <c r="C61" s="34"/>
      <c r="D61" s="20" t="s">
        <v>2106</v>
      </c>
      <c r="E61" s="34" t="s">
        <v>691</v>
      </c>
      <c r="F61" s="34">
        <v>59</v>
      </c>
      <c r="G61" s="34">
        <v>534</v>
      </c>
      <c r="H61" s="20"/>
      <c r="I61" s="20" t="s">
        <v>2514</v>
      </c>
      <c r="J61" s="34" t="s">
        <v>691</v>
      </c>
      <c r="K61" s="34">
        <v>93</v>
      </c>
      <c r="L61" s="34">
        <v>577</v>
      </c>
      <c r="M61" s="20"/>
      <c r="N61" s="102" t="s">
        <v>781</v>
      </c>
      <c r="O61" s="20"/>
      <c r="P61" s="20" t="s">
        <v>782</v>
      </c>
      <c r="Q61" s="20" t="s">
        <v>783</v>
      </c>
      <c r="R61" s="20"/>
      <c r="S61" s="34">
        <v>741</v>
      </c>
    </row>
    <row r="62" spans="1:19" ht="16.5" x14ac:dyDescent="0.35">
      <c r="A62" s="104" t="str">
        <f>HYPERLINK("https://www.examplebusiness.com/blog/the-covid-19-battle","https://www.examplebusiness.com/blog/the-covid-19-battle")</f>
        <v>https://www.examplebusiness.com/blog/the-covid-19-battle</v>
      </c>
      <c r="B62" s="34">
        <v>200</v>
      </c>
      <c r="C62" s="34"/>
      <c r="D62" s="20" t="s">
        <v>2107</v>
      </c>
      <c r="E62" s="34" t="s">
        <v>691</v>
      </c>
      <c r="F62" s="34">
        <v>35</v>
      </c>
      <c r="G62" s="34">
        <v>307</v>
      </c>
      <c r="H62" s="20"/>
      <c r="I62" s="20"/>
      <c r="J62" s="34" t="s">
        <v>694</v>
      </c>
      <c r="K62" s="34">
        <v>0</v>
      </c>
      <c r="L62" s="34">
        <v>0</v>
      </c>
      <c r="M62" s="20"/>
      <c r="N62" s="102" t="s">
        <v>784</v>
      </c>
      <c r="O62" s="20"/>
      <c r="P62" s="20"/>
      <c r="Q62" s="20"/>
      <c r="R62" s="20"/>
      <c r="S62" s="34">
        <v>886</v>
      </c>
    </row>
    <row r="63" spans="1:19" ht="16.5" x14ac:dyDescent="0.35">
      <c r="A63" s="104" t="str">
        <f>HYPERLINK("https://www.examplebusiness.com/blog/three-steps-to-build-your-savings","https://www.examplebusiness.com/blog/three-steps-to-build-your-savings")</f>
        <v>https://www.examplebusiness.com/blog/three-steps-to-build-your-savings</v>
      </c>
      <c r="B63" s="34">
        <v>200</v>
      </c>
      <c r="C63" s="34"/>
      <c r="D63" s="20" t="s">
        <v>2108</v>
      </c>
      <c r="E63" s="34" t="s">
        <v>691</v>
      </c>
      <c r="F63" s="34">
        <v>49</v>
      </c>
      <c r="G63" s="34">
        <v>434</v>
      </c>
      <c r="H63" s="20"/>
      <c r="I63" s="20" t="s">
        <v>785</v>
      </c>
      <c r="J63" s="34" t="s">
        <v>691</v>
      </c>
      <c r="K63" s="34">
        <v>103</v>
      </c>
      <c r="L63" s="34">
        <v>671</v>
      </c>
      <c r="M63" s="20"/>
      <c r="N63" s="102" t="s">
        <v>786</v>
      </c>
      <c r="O63" s="20"/>
      <c r="P63" s="20" t="s">
        <v>787</v>
      </c>
      <c r="Q63" s="20" t="s">
        <v>788</v>
      </c>
      <c r="R63" s="20"/>
      <c r="S63" s="34">
        <v>565</v>
      </c>
    </row>
    <row r="64" spans="1:19" ht="16.5" x14ac:dyDescent="0.35">
      <c r="A64" s="104" t="str">
        <f>HYPERLINK("https://www.examplebusiness.com/blog/what-gen-xers-millennials-and-baby-boomers-need-to-know-about-Example-p","https://www.examplebusiness.com/blog/what-gen-xers-millennials-and-baby-boomers-need-to-know-about-Example-p")</f>
        <v>https://www.examplebusiness.com/blog/what-gen-xers-millennials-and-baby-boomers-need-to-know-about-Example-p</v>
      </c>
      <c r="B64" s="34">
        <v>200</v>
      </c>
      <c r="C64" s="34"/>
      <c r="D64" s="20" t="s">
        <v>2515</v>
      </c>
      <c r="E64" s="34" t="s">
        <v>691</v>
      </c>
      <c r="F64" s="34">
        <v>99</v>
      </c>
      <c r="G64" s="34">
        <v>909</v>
      </c>
      <c r="H64" s="20"/>
      <c r="I64" s="20"/>
      <c r="J64" s="34" t="s">
        <v>694</v>
      </c>
      <c r="K64" s="34">
        <v>0</v>
      </c>
      <c r="L64" s="34">
        <v>0</v>
      </c>
      <c r="M64" s="20"/>
      <c r="N64" s="102" t="s">
        <v>2516</v>
      </c>
      <c r="O64" s="20"/>
      <c r="P64" s="20" t="s">
        <v>789</v>
      </c>
      <c r="Q64" s="20" t="s">
        <v>790</v>
      </c>
      <c r="R64" s="20"/>
      <c r="S64" s="34">
        <v>722</v>
      </c>
    </row>
    <row r="65" spans="1:19" ht="16.5" x14ac:dyDescent="0.35">
      <c r="A65" s="104" t="str">
        <f>HYPERLINK("https://www.examplebusiness.com/blog/what-is-in-the-2-trillion-relief-package","https://www.examplebusiness.com/blog/what-is-in-the-2-trillion-relief-package")</f>
        <v>https://www.examplebusiness.com/blog/what-is-in-the-2-trillion-relief-package</v>
      </c>
      <c r="B65" s="34">
        <v>200</v>
      </c>
      <c r="C65" s="34"/>
      <c r="D65" s="20" t="s">
        <v>2109</v>
      </c>
      <c r="E65" s="34" t="s">
        <v>691</v>
      </c>
      <c r="F65" s="34">
        <v>58</v>
      </c>
      <c r="G65" s="34">
        <v>494</v>
      </c>
      <c r="H65" s="20"/>
      <c r="I65" s="20" t="s">
        <v>2110</v>
      </c>
      <c r="J65" s="34" t="s">
        <v>691</v>
      </c>
      <c r="K65" s="34">
        <v>78</v>
      </c>
      <c r="L65" s="34">
        <v>504</v>
      </c>
      <c r="M65" s="20"/>
      <c r="N65" s="102" t="s">
        <v>791</v>
      </c>
      <c r="O65" s="20"/>
      <c r="P65" s="20" t="s">
        <v>792</v>
      </c>
      <c r="Q65" s="20" t="s">
        <v>793</v>
      </c>
      <c r="R65" s="20"/>
      <c r="S65" s="34">
        <v>653</v>
      </c>
    </row>
    <row r="66" spans="1:19" ht="16.5" x14ac:dyDescent="0.35">
      <c r="A66" s="104" t="str">
        <f>HYPERLINK("https://www.examplebusiness.com/blog/what-president-trumps-tariff-means-for-you","https://www.examplebusiness.com/blog/what-president-trumps-tariff-means-for-you")</f>
        <v>https://www.examplebusiness.com/blog/what-president-trumps-tariff-means-for-you</v>
      </c>
      <c r="B66" s="34">
        <v>200</v>
      </c>
      <c r="C66" s="34"/>
      <c r="D66" s="20" t="s">
        <v>794</v>
      </c>
      <c r="E66" s="34" t="s">
        <v>691</v>
      </c>
      <c r="F66" s="34">
        <v>43</v>
      </c>
      <c r="G66" s="34">
        <v>400</v>
      </c>
      <c r="H66" s="20"/>
      <c r="I66" s="20" t="s">
        <v>795</v>
      </c>
      <c r="J66" s="34" t="s">
        <v>691</v>
      </c>
      <c r="K66" s="34">
        <v>31</v>
      </c>
      <c r="L66" s="34">
        <v>195</v>
      </c>
      <c r="M66" s="20"/>
      <c r="N66" s="102" t="s">
        <v>796</v>
      </c>
      <c r="O66" s="20"/>
      <c r="P66" s="20"/>
      <c r="Q66" s="20"/>
      <c r="R66" s="20"/>
      <c r="S66" s="34">
        <v>1354</v>
      </c>
    </row>
    <row r="67" spans="1:19" ht="16.5" x14ac:dyDescent="0.35">
      <c r="A67" s="104" t="str">
        <f>HYPERLINK("https://www.examplebusiness.com/blog/what-to-do-with-your-401k-when-changing-jobs","https://www.examplebusiness.com/blog/what-to-do-with-your-401k-when-changing-jobs")</f>
        <v>https://www.examplebusiness.com/blog/what-to-do-with-your-401k-when-changing-jobs</v>
      </c>
      <c r="B67" s="34">
        <v>200</v>
      </c>
      <c r="C67" s="34"/>
      <c r="D67" s="20" t="s">
        <v>2111</v>
      </c>
      <c r="E67" s="34" t="s">
        <v>691</v>
      </c>
      <c r="F67" s="34">
        <v>62</v>
      </c>
      <c r="G67" s="34">
        <v>580</v>
      </c>
      <c r="H67" s="20"/>
      <c r="I67" s="20" t="s">
        <v>797</v>
      </c>
      <c r="J67" s="34" t="s">
        <v>691</v>
      </c>
      <c r="K67" s="34">
        <v>124</v>
      </c>
      <c r="L67" s="34">
        <v>751</v>
      </c>
      <c r="M67" s="20"/>
      <c r="N67" s="102" t="s">
        <v>798</v>
      </c>
      <c r="O67" s="20"/>
      <c r="P67" s="20" t="s">
        <v>799</v>
      </c>
      <c r="Q67" s="20" t="s">
        <v>800</v>
      </c>
      <c r="R67" s="20"/>
      <c r="S67" s="34">
        <v>463</v>
      </c>
    </row>
    <row r="68" spans="1:19" ht="16.5" x14ac:dyDescent="0.35">
      <c r="A68" s="104" t="str">
        <f>HYPERLINK("https://www.examplebusiness.com/blog/what-you-need-to-file-your-taxes","https://www.examplebusiness.com/blog/what-you-need-to-file-your-taxes")</f>
        <v>https://www.examplebusiness.com/blog/what-you-need-to-file-your-taxes</v>
      </c>
      <c r="B68" s="34">
        <v>200</v>
      </c>
      <c r="C68" s="34"/>
      <c r="D68" s="20" t="s">
        <v>2112</v>
      </c>
      <c r="E68" s="34" t="s">
        <v>691</v>
      </c>
      <c r="F68" s="34">
        <v>48</v>
      </c>
      <c r="G68" s="34">
        <v>445</v>
      </c>
      <c r="H68" s="20"/>
      <c r="I68" s="20"/>
      <c r="J68" s="34" t="s">
        <v>694</v>
      </c>
      <c r="K68" s="34">
        <v>0</v>
      </c>
      <c r="L68" s="34">
        <v>0</v>
      </c>
      <c r="M68" s="20"/>
      <c r="N68" s="102" t="s">
        <v>801</v>
      </c>
      <c r="O68" s="20"/>
      <c r="P68" s="20"/>
      <c r="Q68" s="20"/>
      <c r="R68" s="20"/>
      <c r="S68" s="34">
        <v>600</v>
      </c>
    </row>
    <row r="69" spans="1:19" ht="16.5" x14ac:dyDescent="0.35">
      <c r="A69" s="104" t="str">
        <f>HYPERLINK("https://www.examplebusiness.com/blog/when-will-the-recession-officially-start","https://www.examplebusiness.com/blog/when-will-the-recession-officially-start")</f>
        <v>https://www.examplebusiness.com/blog/when-will-the-recession-officially-start</v>
      </c>
      <c r="B69" s="34">
        <v>200</v>
      </c>
      <c r="C69" s="34"/>
      <c r="D69" s="20" t="s">
        <v>2113</v>
      </c>
      <c r="E69" s="34" t="s">
        <v>691</v>
      </c>
      <c r="F69" s="34">
        <v>57</v>
      </c>
      <c r="G69" s="34">
        <v>497</v>
      </c>
      <c r="H69" s="20"/>
      <c r="I69" s="20"/>
      <c r="J69" s="34" t="s">
        <v>694</v>
      </c>
      <c r="K69" s="34">
        <v>0</v>
      </c>
      <c r="L69" s="34">
        <v>0</v>
      </c>
      <c r="M69" s="20"/>
      <c r="N69" s="102" t="s">
        <v>802</v>
      </c>
      <c r="O69" s="20"/>
      <c r="P69" s="20"/>
      <c r="Q69" s="20"/>
      <c r="R69" s="20"/>
      <c r="S69" s="34">
        <v>806</v>
      </c>
    </row>
    <row r="70" spans="1:19" ht="16.5" x14ac:dyDescent="0.35">
      <c r="A70" s="104" t="str">
        <f>HYPERLINK("https://www.examplebusiness.com/blog/wheres-your-spouse","https://www.examplebusiness.com/blog/wheres-your-spouse")</f>
        <v>https://www.examplebusiness.com/blog/wheres-your-spouse</v>
      </c>
      <c r="B70" s="34">
        <v>200</v>
      </c>
      <c r="C70" s="34"/>
      <c r="D70" s="20" t="s">
        <v>803</v>
      </c>
      <c r="E70" s="34" t="s">
        <v>691</v>
      </c>
      <c r="F70" s="34">
        <v>21</v>
      </c>
      <c r="G70" s="34">
        <v>214</v>
      </c>
      <c r="H70" s="20"/>
      <c r="I70" s="20"/>
      <c r="J70" s="34" t="s">
        <v>694</v>
      </c>
      <c r="K70" s="34">
        <v>0</v>
      </c>
      <c r="L70" s="34">
        <v>0</v>
      </c>
      <c r="M70" s="20"/>
      <c r="N70" s="102" t="s">
        <v>804</v>
      </c>
      <c r="O70" s="20"/>
      <c r="P70" s="20"/>
      <c r="Q70" s="20"/>
      <c r="R70" s="20"/>
      <c r="S70" s="34">
        <v>305</v>
      </c>
    </row>
    <row r="71" spans="1:19" ht="16.5" x14ac:dyDescent="0.35">
      <c r="A71" s="104" t="str">
        <f>HYPERLINK("https://www.examplebusiness.com/blog/why-a-potential-democrat-sweep-may-not-be-a-market-worry","https://www.examplebusiness.com/blog/why-a-potential-democrat-sweep-may-not-be-a-market-worry")</f>
        <v>https://www.examplebusiness.com/blog/why-a-potential-democrat-sweep-may-not-be-a-market-worry</v>
      </c>
      <c r="B71" s="34">
        <v>200</v>
      </c>
      <c r="C71" s="34"/>
      <c r="D71" s="20" t="s">
        <v>2114</v>
      </c>
      <c r="E71" s="34" t="s">
        <v>691</v>
      </c>
      <c r="F71" s="34">
        <v>72</v>
      </c>
      <c r="G71" s="34">
        <v>689</v>
      </c>
      <c r="H71" s="20"/>
      <c r="I71" s="20"/>
      <c r="J71" s="34" t="s">
        <v>694</v>
      </c>
      <c r="K71" s="34">
        <v>0</v>
      </c>
      <c r="L71" s="34">
        <v>0</v>
      </c>
      <c r="M71" s="20"/>
      <c r="N71" s="102" t="s">
        <v>805</v>
      </c>
      <c r="O71" s="20"/>
      <c r="P71" s="20"/>
      <c r="Q71" s="20"/>
      <c r="R71" s="20"/>
      <c r="S71" s="34">
        <v>581</v>
      </c>
    </row>
    <row r="72" spans="1:19" ht="16.5" x14ac:dyDescent="0.35">
      <c r="A72" s="100" t="str">
        <f>HYPERLINK("https://www.examplebusiness.com/contact","https://www.examplebusiness.com/contact")</f>
        <v>https://www.examplebusiness.com/contact</v>
      </c>
      <c r="B72" s="34">
        <v>200</v>
      </c>
      <c r="C72" s="34"/>
      <c r="D72" s="20" t="s">
        <v>2115</v>
      </c>
      <c r="E72" s="34" t="s">
        <v>691</v>
      </c>
      <c r="F72" s="34">
        <v>23</v>
      </c>
      <c r="G72" s="101">
        <v>201</v>
      </c>
      <c r="H72" s="20"/>
      <c r="I72" s="20"/>
      <c r="J72" s="34" t="s">
        <v>694</v>
      </c>
      <c r="K72" s="34">
        <v>0</v>
      </c>
      <c r="L72" s="34">
        <v>0</v>
      </c>
      <c r="M72" s="20"/>
      <c r="N72" s="102" t="s">
        <v>806</v>
      </c>
      <c r="O72" s="103"/>
      <c r="P72" s="20" t="s">
        <v>2116</v>
      </c>
      <c r="Q72" s="20" t="s">
        <v>807</v>
      </c>
      <c r="R72" s="20"/>
      <c r="S72" s="34">
        <v>46</v>
      </c>
    </row>
    <row r="73" spans="1:19" ht="16.5" x14ac:dyDescent="0.35">
      <c r="A73" s="104" t="str">
        <f>HYPERLINK("https://www.examplebusiness.com/donotsellmypersonalinformation","https://www.examplebusiness.com/donotsellmypersonalinformation")</f>
        <v>https://www.examplebusiness.com/donotsellmypersonalinformation</v>
      </c>
      <c r="B73" s="34">
        <v>200</v>
      </c>
      <c r="C73" s="34" t="s">
        <v>808</v>
      </c>
      <c r="D73" s="20" t="s">
        <v>2117</v>
      </c>
      <c r="E73" s="34" t="s">
        <v>691</v>
      </c>
      <c r="F73" s="34">
        <v>41</v>
      </c>
      <c r="G73" s="34">
        <v>366</v>
      </c>
      <c r="H73" s="20"/>
      <c r="I73" s="20"/>
      <c r="J73" s="34" t="s">
        <v>694</v>
      </c>
      <c r="K73" s="34">
        <v>0</v>
      </c>
      <c r="L73" s="34">
        <v>0</v>
      </c>
      <c r="M73" s="20"/>
      <c r="N73" s="102" t="s">
        <v>809</v>
      </c>
      <c r="O73" s="103"/>
      <c r="P73" s="20"/>
      <c r="Q73" s="20"/>
      <c r="R73" s="20"/>
      <c r="S73" s="34">
        <v>38</v>
      </c>
    </row>
    <row r="74" spans="1:19" ht="16.5" x14ac:dyDescent="0.35">
      <c r="A74" s="104" t="str">
        <f>HYPERLINK("https://www.examplebusiness.com/join-us-new","https://www.examplebusiness.com/join-us-new")</f>
        <v>https://www.examplebusiness.com/join-us-new</v>
      </c>
      <c r="B74" s="34">
        <v>302</v>
      </c>
      <c r="C74" s="34" t="s">
        <v>810</v>
      </c>
      <c r="D74" s="20"/>
      <c r="E74" s="34" t="s">
        <v>694</v>
      </c>
      <c r="F74" s="34">
        <v>0</v>
      </c>
      <c r="G74" s="34">
        <v>0</v>
      </c>
      <c r="H74" s="20"/>
      <c r="I74" s="20"/>
      <c r="J74" s="34" t="s">
        <v>694</v>
      </c>
      <c r="K74" s="34">
        <v>0</v>
      </c>
      <c r="L74" s="34">
        <v>0</v>
      </c>
      <c r="M74" s="20"/>
      <c r="N74" s="102"/>
      <c r="O74" s="20"/>
      <c r="P74" s="20"/>
      <c r="Q74" s="20"/>
      <c r="R74" s="20"/>
      <c r="S74" s="34">
        <v>0</v>
      </c>
    </row>
    <row r="75" spans="1:19" ht="16.5" x14ac:dyDescent="0.35">
      <c r="A75" s="104" t="str">
        <f>HYPERLINK("https://www.examplebusiness.com/join-us-no-testimonials","https://www.examplebusiness.com/join-us-no-testimonials")</f>
        <v>https://www.examplebusiness.com/join-us-no-testimonials</v>
      </c>
      <c r="B75" s="34">
        <v>200</v>
      </c>
      <c r="C75" s="34"/>
      <c r="D75" s="20" t="s">
        <v>2118</v>
      </c>
      <c r="E75" s="34" t="s">
        <v>691</v>
      </c>
      <c r="F75" s="34">
        <v>23</v>
      </c>
      <c r="G75" s="101">
        <v>198</v>
      </c>
      <c r="H75" s="20"/>
      <c r="I75" s="20"/>
      <c r="J75" s="34" t="s">
        <v>694</v>
      </c>
      <c r="K75" s="34">
        <v>0</v>
      </c>
      <c r="L75" s="34">
        <v>0</v>
      </c>
      <c r="M75" s="20"/>
      <c r="N75" s="102"/>
      <c r="O75" s="103"/>
      <c r="P75" s="20" t="s">
        <v>811</v>
      </c>
      <c r="Q75" s="20" t="s">
        <v>812</v>
      </c>
      <c r="R75" s="20"/>
      <c r="S75" s="34">
        <v>300</v>
      </c>
    </row>
    <row r="76" spans="1:19" ht="16.5" x14ac:dyDescent="0.35">
      <c r="A76" s="104" t="str">
        <f>HYPERLINK("https://www.examplebusiness.com/lpl-research","https://www.examplebusiness.com/lpl-research")</f>
        <v>https://www.examplebusiness.com/lpl-research</v>
      </c>
      <c r="B76" s="34">
        <v>200</v>
      </c>
      <c r="C76" s="34"/>
      <c r="D76" s="20" t="s">
        <v>2119</v>
      </c>
      <c r="E76" s="34" t="s">
        <v>691</v>
      </c>
      <c r="F76" s="34">
        <v>28</v>
      </c>
      <c r="G76" s="34">
        <v>258</v>
      </c>
      <c r="H76" s="20"/>
      <c r="I76" s="20"/>
      <c r="J76" s="34" t="s">
        <v>694</v>
      </c>
      <c r="K76" s="34">
        <v>0</v>
      </c>
      <c r="L76" s="34">
        <v>0</v>
      </c>
      <c r="M76" s="20"/>
      <c r="N76" s="102" t="s">
        <v>813</v>
      </c>
      <c r="O76" s="20"/>
      <c r="P76" s="20"/>
      <c r="Q76" s="20"/>
      <c r="R76" s="20"/>
      <c r="S76" s="34">
        <v>92</v>
      </c>
    </row>
    <row r="77" spans="1:19" ht="16.5" x14ac:dyDescent="0.35">
      <c r="A77" s="104" t="str">
        <f>HYPERLINK("https://www.examplebusiness.com/meet-the-team","https://www.examplebusiness.com/meet-the-team")</f>
        <v>https://www.examplebusiness.com/meet-the-team</v>
      </c>
      <c r="B77" s="34">
        <v>200</v>
      </c>
      <c r="C77" s="34"/>
      <c r="D77" s="20" t="s">
        <v>2120</v>
      </c>
      <c r="E77" s="34" t="s">
        <v>691</v>
      </c>
      <c r="F77" s="34">
        <v>24</v>
      </c>
      <c r="G77" s="34">
        <v>222</v>
      </c>
      <c r="H77" s="20"/>
      <c r="I77" s="20"/>
      <c r="J77" s="34" t="s">
        <v>694</v>
      </c>
      <c r="K77" s="34">
        <v>0</v>
      </c>
      <c r="L77" s="34">
        <v>0</v>
      </c>
      <c r="M77" s="20"/>
      <c r="N77" s="102"/>
      <c r="O77" s="20"/>
      <c r="P77" s="20" t="s">
        <v>814</v>
      </c>
      <c r="Q77" s="20" t="s">
        <v>815</v>
      </c>
      <c r="R77" s="20"/>
      <c r="S77" s="34">
        <v>188</v>
      </c>
    </row>
    <row r="78" spans="1:19" ht="16.5" x14ac:dyDescent="0.35">
      <c r="A78" s="104" t="str">
        <f>HYPERLINK("https://www.examplebusiness.com/p/business-retirement-plan-consulting","https://www.examplebusiness.com/p/business-retirement-plan-consulting")</f>
        <v>https://www.examplebusiness.com/p/business-retirement-plan-consulting</v>
      </c>
      <c r="B78" s="34">
        <v>200</v>
      </c>
      <c r="C78" s="34"/>
      <c r="D78" s="20" t="s">
        <v>2121</v>
      </c>
      <c r="E78" s="34" t="s">
        <v>691</v>
      </c>
      <c r="F78" s="34">
        <v>39</v>
      </c>
      <c r="G78" s="34">
        <v>343</v>
      </c>
      <c r="H78" s="20"/>
      <c r="I78" s="20" t="s">
        <v>2122</v>
      </c>
      <c r="J78" s="34" t="s">
        <v>691</v>
      </c>
      <c r="K78" s="34">
        <v>106</v>
      </c>
      <c r="L78" s="34">
        <v>694</v>
      </c>
      <c r="M78" s="20"/>
      <c r="N78" s="102" t="s">
        <v>816</v>
      </c>
      <c r="O78" s="103"/>
      <c r="P78" s="20" t="s">
        <v>817</v>
      </c>
      <c r="Q78" s="20"/>
      <c r="R78" s="20"/>
      <c r="S78" s="34">
        <v>349</v>
      </c>
    </row>
    <row r="79" spans="1:19" ht="16.5" x14ac:dyDescent="0.35">
      <c r="A79" s="104" t="str">
        <f>HYPERLINK("https://www.examplebusiness.com/p/client-community","https://www.examplebusiness.com/p/client-community")</f>
        <v>https://www.examplebusiness.com/p/client-community</v>
      </c>
      <c r="B79" s="34">
        <v>200</v>
      </c>
      <c r="C79" s="34"/>
      <c r="D79" s="20" t="s">
        <v>2123</v>
      </c>
      <c r="E79" s="34" t="s">
        <v>691</v>
      </c>
      <c r="F79" s="34">
        <v>30</v>
      </c>
      <c r="G79" s="34">
        <v>250</v>
      </c>
      <c r="H79" s="20"/>
      <c r="I79" s="20" t="s">
        <v>818</v>
      </c>
      <c r="J79" s="34" t="s">
        <v>691</v>
      </c>
      <c r="K79" s="34">
        <v>82</v>
      </c>
      <c r="L79" s="34">
        <v>516</v>
      </c>
      <c r="M79" s="20"/>
      <c r="N79" s="102" t="s">
        <v>819</v>
      </c>
      <c r="O79" s="20"/>
      <c r="P79" s="20" t="s">
        <v>820</v>
      </c>
      <c r="Q79" s="20" t="s">
        <v>821</v>
      </c>
      <c r="R79" s="20"/>
      <c r="S79" s="34">
        <v>1582</v>
      </c>
    </row>
    <row r="80" spans="1:19" ht="16.5" x14ac:dyDescent="0.35">
      <c r="A80" s="104" t="str">
        <f>HYPERLINK("https://www.examplebusiness.com/p/webinars","https://www.examplebusiness.com/p/webinars")</f>
        <v>https://www.examplebusiness.com/p/webinars</v>
      </c>
      <c r="B80" s="34">
        <v>200</v>
      </c>
      <c r="C80" s="34"/>
      <c r="D80" s="20" t="s">
        <v>2124</v>
      </c>
      <c r="E80" s="34" t="s">
        <v>691</v>
      </c>
      <c r="F80" s="34">
        <v>24</v>
      </c>
      <c r="G80" s="34">
        <v>216</v>
      </c>
      <c r="H80" s="20"/>
      <c r="I80" s="20"/>
      <c r="J80" s="34" t="s">
        <v>694</v>
      </c>
      <c r="K80" s="34">
        <v>0</v>
      </c>
      <c r="L80" s="34">
        <v>0</v>
      </c>
      <c r="M80" s="20"/>
      <c r="N80" s="102" t="s">
        <v>822</v>
      </c>
      <c r="O80" s="20"/>
      <c r="P80" s="20"/>
      <c r="Q80" s="20"/>
      <c r="R80" s="20"/>
      <c r="S80" s="34">
        <v>171</v>
      </c>
    </row>
    <row r="81" spans="1:19" ht="16.5" x14ac:dyDescent="0.35">
      <c r="A81" s="104" t="str">
        <f>HYPERLINK("https://www.examplebusiness.com/resource-center","https://www.examplebusiness.com/resource-center")</f>
        <v>https://www.examplebusiness.com/resource-center</v>
      </c>
      <c r="B81" s="34">
        <v>200</v>
      </c>
      <c r="C81" s="34"/>
      <c r="D81" s="20" t="s">
        <v>823</v>
      </c>
      <c r="E81" s="34" t="s">
        <v>691</v>
      </c>
      <c r="F81" s="34">
        <v>15</v>
      </c>
      <c r="G81" s="34">
        <v>149</v>
      </c>
      <c r="H81" s="20"/>
      <c r="I81" s="20"/>
      <c r="J81" s="34" t="s">
        <v>694</v>
      </c>
      <c r="K81" s="34">
        <v>0</v>
      </c>
      <c r="L81" s="34">
        <v>0</v>
      </c>
      <c r="M81" s="20"/>
      <c r="N81" s="102" t="s">
        <v>824</v>
      </c>
      <c r="O81" s="20"/>
      <c r="P81" s="20" t="s">
        <v>825</v>
      </c>
      <c r="Q81" s="20" t="s">
        <v>826</v>
      </c>
      <c r="R81" s="20"/>
      <c r="S81" s="34">
        <v>139</v>
      </c>
    </row>
    <row r="82" spans="1:19" ht="16.5" x14ac:dyDescent="0.35">
      <c r="A82" s="104" t="str">
        <f>HYPERLINK("https://www.examplebusiness.com/resource-center/articles","https://www.examplebusiness.com/resource-center/articles")</f>
        <v>https://www.examplebusiness.com/resource-center/articles</v>
      </c>
      <c r="B82" s="34">
        <v>200</v>
      </c>
      <c r="C82" s="34"/>
      <c r="D82" s="20" t="s">
        <v>2125</v>
      </c>
      <c r="E82" s="34" t="s">
        <v>691</v>
      </c>
      <c r="F82" s="34">
        <v>28</v>
      </c>
      <c r="G82" s="34">
        <v>225</v>
      </c>
      <c r="H82" s="20"/>
      <c r="I82" s="20"/>
      <c r="J82" s="34" t="s">
        <v>694</v>
      </c>
      <c r="K82" s="34">
        <v>0</v>
      </c>
      <c r="L82" s="34">
        <v>0</v>
      </c>
      <c r="M82" s="20"/>
      <c r="N82" s="102" t="s">
        <v>827</v>
      </c>
      <c r="O82" s="20"/>
      <c r="P82" s="20" t="s">
        <v>828</v>
      </c>
      <c r="Q82" s="20" t="s">
        <v>825</v>
      </c>
      <c r="R82" s="20"/>
      <c r="S82" s="34">
        <v>1698</v>
      </c>
    </row>
    <row r="83" spans="1:19" ht="16.5" x14ac:dyDescent="0.35">
      <c r="A83" s="104" t="str">
        <f>HYPERLINK("https://www.examplebusiness.com/resource-center/calculators","https://www.examplebusiness.com/resource-center/calculators")</f>
        <v>https://www.examplebusiness.com/resource-center/calculators</v>
      </c>
      <c r="B83" s="34">
        <v>200</v>
      </c>
      <c r="C83" s="34"/>
      <c r="D83" s="20" t="s">
        <v>2126</v>
      </c>
      <c r="E83" s="34" t="s">
        <v>691</v>
      </c>
      <c r="F83" s="34">
        <v>31</v>
      </c>
      <c r="G83" s="34">
        <v>258</v>
      </c>
      <c r="H83" s="20"/>
      <c r="I83" s="20"/>
      <c r="J83" s="34" t="s">
        <v>694</v>
      </c>
      <c r="K83" s="34">
        <v>0</v>
      </c>
      <c r="L83" s="34">
        <v>0</v>
      </c>
      <c r="M83" s="20"/>
      <c r="N83" s="102" t="s">
        <v>829</v>
      </c>
      <c r="O83" s="20"/>
      <c r="P83" s="20" t="s">
        <v>828</v>
      </c>
      <c r="Q83" s="20" t="s">
        <v>825</v>
      </c>
      <c r="R83" s="20"/>
      <c r="S83" s="34">
        <v>314</v>
      </c>
    </row>
    <row r="84" spans="1:19" ht="16.5" x14ac:dyDescent="0.35">
      <c r="A84" s="104" t="str">
        <f>HYPERLINK("https://www.examplebusiness.com/resource-center/estate","https://www.examplebusiness.com/resource-center/estate")</f>
        <v>https://www.examplebusiness.com/resource-center/estate</v>
      </c>
      <c r="B84" s="34">
        <v>200</v>
      </c>
      <c r="C84" s="34"/>
      <c r="D84" s="20" t="s">
        <v>2127</v>
      </c>
      <c r="E84" s="34" t="s">
        <v>691</v>
      </c>
      <c r="F84" s="34">
        <v>22</v>
      </c>
      <c r="G84" s="34">
        <v>190</v>
      </c>
      <c r="H84" s="20"/>
      <c r="I84" s="20"/>
      <c r="J84" s="34" t="s">
        <v>694</v>
      </c>
      <c r="K84" s="34">
        <v>0</v>
      </c>
      <c r="L84" s="34">
        <v>0</v>
      </c>
      <c r="M84" s="20"/>
      <c r="N84" s="102" t="s">
        <v>825</v>
      </c>
      <c r="O84" s="20"/>
      <c r="P84" s="20" t="s">
        <v>830</v>
      </c>
      <c r="Q84" s="20" t="s">
        <v>831</v>
      </c>
      <c r="R84" s="20"/>
      <c r="S84" s="34">
        <v>873</v>
      </c>
    </row>
    <row r="85" spans="1:19" ht="16.5" x14ac:dyDescent="0.35">
      <c r="A85" s="104" t="str">
        <f>HYPERLINK("https://www.examplebusiness.com/resource-center/estate/a-brief-history-of-estate-taxes","https://www.examplebusiness.com/resource-center/estate/a-brief-history-of-estate-taxes")</f>
        <v>https://www.examplebusiness.com/resource-center/estate/a-brief-history-of-estate-taxes</v>
      </c>
      <c r="B85" s="34">
        <v>200</v>
      </c>
      <c r="C85" s="34"/>
      <c r="D85" s="20" t="s">
        <v>2128</v>
      </c>
      <c r="E85" s="34" t="s">
        <v>691</v>
      </c>
      <c r="F85" s="34">
        <v>47</v>
      </c>
      <c r="G85" s="34">
        <v>405</v>
      </c>
      <c r="H85" s="20"/>
      <c r="I85" s="20"/>
      <c r="J85" s="34" t="s">
        <v>694</v>
      </c>
      <c r="K85" s="34">
        <v>0</v>
      </c>
      <c r="L85" s="34">
        <v>0</v>
      </c>
      <c r="M85" s="20"/>
      <c r="N85" s="102" t="s">
        <v>832</v>
      </c>
      <c r="O85" s="20"/>
      <c r="P85" s="20" t="s">
        <v>833</v>
      </c>
      <c r="Q85" s="20" t="s">
        <v>834</v>
      </c>
      <c r="R85" s="20"/>
      <c r="S85" s="34">
        <v>849</v>
      </c>
    </row>
    <row r="86" spans="1:19" ht="16.5" x14ac:dyDescent="0.35">
      <c r="A86" s="104" t="str">
        <f>HYPERLINK("https://www.examplebusiness.com/resource-center/estate/a-living-trust-primer","https://www.examplebusiness.com/resource-center/estate/a-living-trust-primer")</f>
        <v>https://www.examplebusiness.com/resource-center/estate/a-living-trust-primer</v>
      </c>
      <c r="B86" s="34">
        <v>200</v>
      </c>
      <c r="C86" s="34"/>
      <c r="D86" s="20" t="s">
        <v>2129</v>
      </c>
      <c r="E86" s="34" t="s">
        <v>691</v>
      </c>
      <c r="F86" s="34">
        <v>37</v>
      </c>
      <c r="G86" s="34">
        <v>316</v>
      </c>
      <c r="H86" s="20"/>
      <c r="I86" s="20"/>
      <c r="J86" s="34" t="s">
        <v>694</v>
      </c>
      <c r="K86" s="34">
        <v>0</v>
      </c>
      <c r="L86" s="34">
        <v>0</v>
      </c>
      <c r="M86" s="20"/>
      <c r="N86" s="102" t="s">
        <v>835</v>
      </c>
      <c r="O86" s="20"/>
      <c r="P86" s="20" t="s">
        <v>836</v>
      </c>
      <c r="Q86" s="20" t="s">
        <v>837</v>
      </c>
      <c r="R86" s="20"/>
      <c r="S86" s="34">
        <v>639</v>
      </c>
    </row>
    <row r="87" spans="1:19" ht="16.5" x14ac:dyDescent="0.35">
      <c r="A87" s="104" t="str">
        <f>HYPERLINK("https://www.examplebusiness.com/resource-center/estate/a-primer-on-irrevocable-life-insurance-trusts","https://www.examplebusiness.com/resource-center/estate/a-primer-on-irrevocable-life-insurance-trusts")</f>
        <v>https://www.examplebusiness.com/resource-center/estate/a-primer-on-irrevocable-life-insurance-trusts</v>
      </c>
      <c r="B87" s="34">
        <v>200</v>
      </c>
      <c r="C87" s="34"/>
      <c r="D87" s="20" t="s">
        <v>2130</v>
      </c>
      <c r="E87" s="34" t="s">
        <v>691</v>
      </c>
      <c r="F87" s="34">
        <v>61</v>
      </c>
      <c r="G87" s="34">
        <v>531</v>
      </c>
      <c r="H87" s="20"/>
      <c r="I87" s="20"/>
      <c r="J87" s="34" t="s">
        <v>694</v>
      </c>
      <c r="K87" s="34">
        <v>0</v>
      </c>
      <c r="L87" s="34">
        <v>0</v>
      </c>
      <c r="M87" s="20"/>
      <c r="N87" s="102" t="s">
        <v>838</v>
      </c>
      <c r="O87" s="20"/>
      <c r="P87" s="20" t="s">
        <v>839</v>
      </c>
      <c r="Q87" s="20" t="s">
        <v>840</v>
      </c>
      <c r="R87" s="20"/>
      <c r="S87" s="34">
        <v>795</v>
      </c>
    </row>
    <row r="88" spans="1:19" ht="16.5" x14ac:dyDescent="0.35">
      <c r="A88" s="104" t="str">
        <f>HYPERLINK("https://www.examplebusiness.com/resource-center/estate/and-the-executor-is","https://www.examplebusiness.com/resource-center/estate/and-the-executor-is")</f>
        <v>https://www.examplebusiness.com/resource-center/estate/and-the-executor-is</v>
      </c>
      <c r="B88" s="34">
        <v>200</v>
      </c>
      <c r="C88" s="34"/>
      <c r="D88" s="20" t="s">
        <v>2131</v>
      </c>
      <c r="E88" s="34" t="s">
        <v>691</v>
      </c>
      <c r="F88" s="34">
        <v>35</v>
      </c>
      <c r="G88" s="34">
        <v>305</v>
      </c>
      <c r="H88" s="20"/>
      <c r="I88" s="20"/>
      <c r="J88" s="34" t="s">
        <v>694</v>
      </c>
      <c r="K88" s="34">
        <v>0</v>
      </c>
      <c r="L88" s="34">
        <v>0</v>
      </c>
      <c r="M88" s="20"/>
      <c r="N88" s="102" t="s">
        <v>841</v>
      </c>
      <c r="O88" s="20"/>
      <c r="P88" s="20" t="s">
        <v>842</v>
      </c>
      <c r="Q88" s="20" t="s">
        <v>843</v>
      </c>
      <c r="R88" s="20"/>
      <c r="S88" s="34">
        <v>660</v>
      </c>
    </row>
    <row r="89" spans="1:19" ht="16.5" x14ac:dyDescent="0.35">
      <c r="A89" s="104" t="str">
        <f>HYPERLINK("https://www.examplebusiness.com/resource-center/estate/charitable-giving-smart-from-the-heart","https://www.examplebusiness.com/resource-center/estate/charitable-giving-smart-from-the-heart")</f>
        <v>https://www.examplebusiness.com/resource-center/estate/charitable-giving-smart-from-the-heart</v>
      </c>
      <c r="B89" s="34">
        <v>200</v>
      </c>
      <c r="C89" s="34"/>
      <c r="D89" s="20" t="s">
        <v>2132</v>
      </c>
      <c r="E89" s="34" t="s">
        <v>691</v>
      </c>
      <c r="F89" s="34">
        <v>55</v>
      </c>
      <c r="G89" s="34">
        <v>480</v>
      </c>
      <c r="H89" s="20"/>
      <c r="I89" s="20"/>
      <c r="J89" s="34" t="s">
        <v>694</v>
      </c>
      <c r="K89" s="34">
        <v>0</v>
      </c>
      <c r="L89" s="34">
        <v>0</v>
      </c>
      <c r="M89" s="20"/>
      <c r="N89" s="102" t="s">
        <v>844</v>
      </c>
      <c r="O89" s="20"/>
      <c r="P89" s="20" t="s">
        <v>843</v>
      </c>
      <c r="Q89" s="20" t="s">
        <v>845</v>
      </c>
      <c r="R89" s="20"/>
      <c r="S89" s="34">
        <v>101</v>
      </c>
    </row>
    <row r="90" spans="1:19" ht="16.5" x14ac:dyDescent="0.35">
      <c r="A90" s="104" t="str">
        <f>HYPERLINK("https://www.examplebusiness.com/resource-center/estate/choosing-a-business-structure","https://www.examplebusiness.com/resource-center/estate/choosing-a-business-structure")</f>
        <v>https://www.examplebusiness.com/resource-center/estate/choosing-a-business-structure</v>
      </c>
      <c r="B90" s="34">
        <v>200</v>
      </c>
      <c r="C90" s="34"/>
      <c r="D90" s="20" t="s">
        <v>2133</v>
      </c>
      <c r="E90" s="34" t="s">
        <v>691</v>
      </c>
      <c r="F90" s="34">
        <v>45</v>
      </c>
      <c r="G90" s="34">
        <v>401</v>
      </c>
      <c r="H90" s="20"/>
      <c r="I90" s="20"/>
      <c r="J90" s="34" t="s">
        <v>694</v>
      </c>
      <c r="K90" s="34">
        <v>0</v>
      </c>
      <c r="L90" s="34">
        <v>0</v>
      </c>
      <c r="M90" s="20"/>
      <c r="N90" s="102" t="s">
        <v>846</v>
      </c>
      <c r="O90" s="20"/>
      <c r="P90" s="20" t="s">
        <v>847</v>
      </c>
      <c r="Q90" s="20" t="s">
        <v>848</v>
      </c>
      <c r="R90" s="20"/>
      <c r="S90" s="34">
        <v>788</v>
      </c>
    </row>
    <row r="91" spans="1:19" ht="16.5" x14ac:dyDescent="0.35">
      <c r="A91" s="104" t="str">
        <f>HYPERLINK("https://www.examplebusiness.com/resource-center/estate/critical-estate-documents","https://www.examplebusiness.com/resource-center/estate/critical-estate-documents")</f>
        <v>https://www.examplebusiness.com/resource-center/estate/critical-estate-documents</v>
      </c>
      <c r="B91" s="34">
        <v>200</v>
      </c>
      <c r="C91" s="34"/>
      <c r="D91" s="20" t="s">
        <v>2134</v>
      </c>
      <c r="E91" s="34" t="s">
        <v>691</v>
      </c>
      <c r="F91" s="34">
        <v>41</v>
      </c>
      <c r="G91" s="34" t="s">
        <v>849</v>
      </c>
      <c r="H91" s="20"/>
      <c r="I91" s="20"/>
      <c r="J91" s="34" t="s">
        <v>694</v>
      </c>
      <c r="K91" s="34">
        <v>0</v>
      </c>
      <c r="L91" s="34">
        <v>0</v>
      </c>
      <c r="M91" s="20"/>
      <c r="N91" s="102" t="s">
        <v>850</v>
      </c>
      <c r="O91" s="20"/>
      <c r="P91" s="20" t="s">
        <v>2517</v>
      </c>
      <c r="Q91" s="20" t="s">
        <v>851</v>
      </c>
      <c r="R91" s="20"/>
      <c r="S91" s="34">
        <v>547</v>
      </c>
    </row>
    <row r="92" spans="1:19" ht="16.5" x14ac:dyDescent="0.35">
      <c r="A92" s="104" t="str">
        <f>HYPERLINK("https://www.examplebusiness.com/resource-center/estate/estate-building-block-understanding-the-alternate-valuation-date","https://www.examplebusiness.com/resource-center/estate/estate-building-block-understanding-the-alternate-valuation-date")</f>
        <v>https://www.examplebusiness.com/resource-center/estate/estate-building-block-understanding-the-alternate-valuation-date</v>
      </c>
      <c r="B92" s="34">
        <v>200</v>
      </c>
      <c r="C92" s="34"/>
      <c r="D92" s="20" t="s">
        <v>852</v>
      </c>
      <c r="E92" s="34" t="s">
        <v>691</v>
      </c>
      <c r="F92" s="34">
        <v>65</v>
      </c>
      <c r="G92" s="34">
        <v>573</v>
      </c>
      <c r="H92" s="20"/>
      <c r="I92" s="20"/>
      <c r="J92" s="34" t="s">
        <v>694</v>
      </c>
      <c r="K92" s="34">
        <v>0</v>
      </c>
      <c r="L92" s="34">
        <v>0</v>
      </c>
      <c r="M92" s="20"/>
      <c r="N92" s="102" t="s">
        <v>853</v>
      </c>
      <c r="O92" s="20"/>
      <c r="P92" s="20" t="s">
        <v>854</v>
      </c>
      <c r="Q92" s="20" t="s">
        <v>855</v>
      </c>
      <c r="R92" s="20"/>
      <c r="S92" s="34">
        <v>750</v>
      </c>
    </row>
    <row r="93" spans="1:19" ht="16.5" x14ac:dyDescent="0.35">
      <c r="A93" s="104" t="str">
        <f>HYPERLINK("https://www.examplebusiness.com/resource-center/estate/estate-management-101","https://www.examplebusiness.com/resource-center/estate/estate-management-101")</f>
        <v>https://www.examplebusiness.com/resource-center/estate/estate-management-101</v>
      </c>
      <c r="B93" s="34">
        <v>200</v>
      </c>
      <c r="C93" s="34"/>
      <c r="D93" s="20" t="s">
        <v>2135</v>
      </c>
      <c r="E93" s="34" t="s">
        <v>691</v>
      </c>
      <c r="F93" s="34">
        <v>37</v>
      </c>
      <c r="G93" s="34">
        <v>349</v>
      </c>
      <c r="H93" s="20"/>
      <c r="I93" s="20"/>
      <c r="J93" s="34" t="s">
        <v>694</v>
      </c>
      <c r="K93" s="34">
        <v>0</v>
      </c>
      <c r="L93" s="34">
        <v>0</v>
      </c>
      <c r="M93" s="20"/>
      <c r="N93" s="102" t="s">
        <v>856</v>
      </c>
      <c r="O93" s="20"/>
      <c r="P93" s="20" t="s">
        <v>843</v>
      </c>
      <c r="Q93" s="20" t="s">
        <v>845</v>
      </c>
      <c r="R93" s="20"/>
      <c r="S93" s="34">
        <v>103</v>
      </c>
    </row>
    <row r="94" spans="1:19" ht="16.5" x14ac:dyDescent="0.35">
      <c r="A94" s="104" t="str">
        <f>HYPERLINK("https://www.examplebusiness.com/resource-center/estate/estate-management-checklist","https://www.examplebusiness.com/resource-center/estate/estate-management-checklist")</f>
        <v>https://www.examplebusiness.com/resource-center/estate/estate-management-checklist</v>
      </c>
      <c r="B94" s="34">
        <v>200</v>
      </c>
      <c r="C94" s="34"/>
      <c r="D94" s="20" t="s">
        <v>2136</v>
      </c>
      <c r="E94" s="34" t="s">
        <v>691</v>
      </c>
      <c r="F94" s="34">
        <v>43</v>
      </c>
      <c r="G94" s="34">
        <v>395</v>
      </c>
      <c r="H94" s="20"/>
      <c r="I94" s="20"/>
      <c r="J94" s="34" t="s">
        <v>694</v>
      </c>
      <c r="K94" s="34">
        <v>0</v>
      </c>
      <c r="L94" s="34">
        <v>0</v>
      </c>
      <c r="M94" s="20"/>
      <c r="N94" s="102" t="s">
        <v>857</v>
      </c>
      <c r="O94" s="20"/>
      <c r="P94" s="20" t="s">
        <v>843</v>
      </c>
      <c r="Q94" s="20" t="s">
        <v>845</v>
      </c>
      <c r="R94" s="20"/>
      <c r="S94" s="34">
        <v>751</v>
      </c>
    </row>
    <row r="95" spans="1:19" ht="16.5" x14ac:dyDescent="0.35">
      <c r="A95" s="104" t="str">
        <f>HYPERLINK("https://www.examplebusiness.com/resource-center/estate/exit-strategies-of-the-rich-and-famous","https://www.examplebusiness.com/resource-center/estate/exit-strategies-of-the-rich-and-famous")</f>
        <v>https://www.examplebusiness.com/resource-center/estate/exit-strategies-of-the-rich-and-famous</v>
      </c>
      <c r="B95" s="34">
        <v>200</v>
      </c>
      <c r="C95" s="34"/>
      <c r="D95" s="20" t="s">
        <v>2137</v>
      </c>
      <c r="E95" s="34" t="s">
        <v>691</v>
      </c>
      <c r="F95" s="34">
        <v>54</v>
      </c>
      <c r="G95" s="34">
        <v>475</v>
      </c>
      <c r="H95" s="20"/>
      <c r="I95" s="20"/>
      <c r="J95" s="34" t="s">
        <v>694</v>
      </c>
      <c r="K95" s="34">
        <v>0</v>
      </c>
      <c r="L95" s="34">
        <v>0</v>
      </c>
      <c r="M95" s="20"/>
      <c r="N95" s="102" t="s">
        <v>830</v>
      </c>
      <c r="O95" s="20"/>
      <c r="P95" s="20" t="s">
        <v>843</v>
      </c>
      <c r="Q95" s="20" t="s">
        <v>845</v>
      </c>
      <c r="R95" s="20"/>
      <c r="S95" s="34">
        <v>112</v>
      </c>
    </row>
    <row r="96" spans="1:19" ht="16.5" x14ac:dyDescent="0.35">
      <c r="A96" s="104" t="str">
        <f>HYPERLINK("https://www.examplebusiness.com/resource-center/estate/four-reasons-millenials-need-an-estate-strategy","https://www.examplebusiness.com/resource-center/estate/four-reasons-millenials-need-an-estate-strategy")</f>
        <v>https://www.examplebusiness.com/resource-center/estate/four-reasons-millenials-need-an-estate-strategy</v>
      </c>
      <c r="B96" s="34">
        <v>200</v>
      </c>
      <c r="C96" s="34"/>
      <c r="D96" s="20" t="s">
        <v>2138</v>
      </c>
      <c r="E96" s="34" t="s">
        <v>691</v>
      </c>
      <c r="F96" s="34">
        <v>64</v>
      </c>
      <c r="G96" s="34">
        <v>574</v>
      </c>
      <c r="H96" s="20"/>
      <c r="I96" s="20"/>
      <c r="J96" s="34" t="s">
        <v>694</v>
      </c>
      <c r="K96" s="34">
        <v>0</v>
      </c>
      <c r="L96" s="34">
        <v>0</v>
      </c>
      <c r="M96" s="20"/>
      <c r="N96" s="102" t="s">
        <v>858</v>
      </c>
      <c r="O96" s="20"/>
      <c r="P96" s="20" t="s">
        <v>859</v>
      </c>
      <c r="Q96" s="20" t="s">
        <v>843</v>
      </c>
      <c r="R96" s="20"/>
      <c r="S96" s="34">
        <v>520</v>
      </c>
    </row>
    <row r="97" spans="1:19" ht="16.5" x14ac:dyDescent="0.35">
      <c r="A97" s="104" t="str">
        <f>HYPERLINK("https://www.examplebusiness.com/resource-center/estate/four-steps-to-valuing-an-estate","https://www.examplebusiness.com/resource-center/estate/four-steps-to-valuing-an-estate")</f>
        <v>https://www.examplebusiness.com/resource-center/estate/four-steps-to-valuing-an-estate</v>
      </c>
      <c r="B97" s="34">
        <v>200</v>
      </c>
      <c r="C97" s="34"/>
      <c r="D97" s="20" t="s">
        <v>2139</v>
      </c>
      <c r="E97" s="34" t="s">
        <v>691</v>
      </c>
      <c r="F97" s="34">
        <v>47</v>
      </c>
      <c r="G97" s="34">
        <v>412</v>
      </c>
      <c r="H97" s="20"/>
      <c r="I97" s="20"/>
      <c r="J97" s="34" t="s">
        <v>694</v>
      </c>
      <c r="K97" s="34">
        <v>0</v>
      </c>
      <c r="L97" s="34">
        <v>0</v>
      </c>
      <c r="M97" s="20"/>
      <c r="N97" s="102" t="s">
        <v>860</v>
      </c>
      <c r="O97" s="20"/>
      <c r="P97" s="20" t="s">
        <v>861</v>
      </c>
      <c r="Q97" s="20" t="s">
        <v>843</v>
      </c>
      <c r="R97" s="20"/>
      <c r="S97" s="34">
        <v>681</v>
      </c>
    </row>
    <row r="98" spans="1:19" ht="16.5" x14ac:dyDescent="0.35">
      <c r="A98" s="104" t="str">
        <f>HYPERLINK("https://www.examplebusiness.com/resource-center/estate/planning-for-special-needs-children","https://www.examplebusiness.com/resource-center/estate/planning-for-special-needs-children")</f>
        <v>https://www.examplebusiness.com/resource-center/estate/planning-for-special-needs-children</v>
      </c>
      <c r="B98" s="34">
        <v>200</v>
      </c>
      <c r="C98" s="34"/>
      <c r="D98" s="20" t="s">
        <v>2140</v>
      </c>
      <c r="E98" s="34" t="s">
        <v>691</v>
      </c>
      <c r="F98" s="34">
        <v>63</v>
      </c>
      <c r="G98" s="34">
        <v>525</v>
      </c>
      <c r="H98" s="20"/>
      <c r="I98" s="20"/>
      <c r="J98" s="34" t="s">
        <v>694</v>
      </c>
      <c r="K98" s="34">
        <v>0</v>
      </c>
      <c r="L98" s="34">
        <v>0</v>
      </c>
      <c r="M98" s="20"/>
      <c r="N98" s="102" t="s">
        <v>862</v>
      </c>
      <c r="O98" s="20"/>
      <c r="P98" s="20" t="s">
        <v>863</v>
      </c>
      <c r="Q98" s="20" t="s">
        <v>864</v>
      </c>
      <c r="R98" s="20"/>
      <c r="S98" s="34">
        <v>685</v>
      </c>
    </row>
    <row r="99" spans="1:19" ht="16.5" x14ac:dyDescent="0.35">
      <c r="A99" s="104" t="str">
        <f>HYPERLINK("https://www.examplebusiness.com/resource-center/estate/principles-of-preserving-wealth","https://www.examplebusiness.com/resource-center/estate/principles-of-preserving-wealth")</f>
        <v>https://www.examplebusiness.com/resource-center/estate/principles-of-preserving-wealth</v>
      </c>
      <c r="B99" s="34">
        <v>200</v>
      </c>
      <c r="C99" s="34"/>
      <c r="D99" s="20" t="s">
        <v>865</v>
      </c>
      <c r="E99" s="34" t="s">
        <v>691</v>
      </c>
      <c r="F99" s="34">
        <v>26</v>
      </c>
      <c r="G99" s="34">
        <v>226</v>
      </c>
      <c r="H99" s="20"/>
      <c r="I99" s="20"/>
      <c r="J99" s="34" t="s">
        <v>694</v>
      </c>
      <c r="K99" s="34">
        <v>0</v>
      </c>
      <c r="L99" s="34">
        <v>0</v>
      </c>
      <c r="M99" s="20"/>
      <c r="N99" s="102" t="s">
        <v>831</v>
      </c>
      <c r="O99" s="20"/>
      <c r="P99" s="20" t="s">
        <v>866</v>
      </c>
      <c r="Q99" s="20" t="s">
        <v>843</v>
      </c>
      <c r="R99" s="20"/>
      <c r="S99" s="34">
        <v>132</v>
      </c>
    </row>
    <row r="100" spans="1:19" ht="16.5" x14ac:dyDescent="0.35">
      <c r="A100" s="104" t="str">
        <f>HYPERLINK("https://www.examplebusiness.com/resource-center/estate/principles-of-preserving-wealth?responsive=false","https://www.examplebusiness.com/resource-center/estate/principles-of-preserving-wealth?responsive=false")</f>
        <v>https://www.examplebusiness.com/resource-center/estate/principles-of-preserving-wealth?responsive=false</v>
      </c>
      <c r="B100" s="34">
        <v>200</v>
      </c>
      <c r="C100" s="34"/>
      <c r="D100" s="20" t="s">
        <v>865</v>
      </c>
      <c r="E100" s="34" t="s">
        <v>691</v>
      </c>
      <c r="F100" s="34">
        <v>26</v>
      </c>
      <c r="G100" s="34">
        <v>226</v>
      </c>
      <c r="H100" s="20"/>
      <c r="I100" s="20"/>
      <c r="J100" s="34" t="s">
        <v>694</v>
      </c>
      <c r="K100" s="34">
        <v>0</v>
      </c>
      <c r="L100" s="34">
        <v>0</v>
      </c>
      <c r="M100" s="20"/>
      <c r="N100" s="102" t="s">
        <v>831</v>
      </c>
      <c r="O100" s="20"/>
      <c r="P100" s="20" t="s">
        <v>866</v>
      </c>
      <c r="Q100" s="20" t="s">
        <v>843</v>
      </c>
      <c r="R100" s="20"/>
      <c r="S100" s="34">
        <v>132</v>
      </c>
    </row>
    <row r="101" spans="1:19" ht="16.5" x14ac:dyDescent="0.35">
      <c r="A101" s="104" t="str">
        <f>HYPERLINK("https://www.examplebusiness.com/resource-center/estate/problems-with-probate","https://www.examplebusiness.com/resource-center/estate/problems-with-probate")</f>
        <v>https://www.examplebusiness.com/resource-center/estate/problems-with-probate</v>
      </c>
      <c r="B101" s="34">
        <v>200</v>
      </c>
      <c r="C101" s="34"/>
      <c r="D101" s="20" t="s">
        <v>2141</v>
      </c>
      <c r="E101" s="34" t="s">
        <v>691</v>
      </c>
      <c r="F101" s="34">
        <v>37</v>
      </c>
      <c r="G101" s="34">
        <v>333</v>
      </c>
      <c r="H101" s="20"/>
      <c r="I101" s="20"/>
      <c r="J101" s="34" t="s">
        <v>694</v>
      </c>
      <c r="K101" s="34">
        <v>0</v>
      </c>
      <c r="L101" s="34">
        <v>0</v>
      </c>
      <c r="M101" s="20"/>
      <c r="N101" s="102" t="s">
        <v>867</v>
      </c>
      <c r="O101" s="20"/>
      <c r="P101" s="20" t="s">
        <v>868</v>
      </c>
      <c r="Q101" s="20" t="s">
        <v>869</v>
      </c>
      <c r="R101" s="20"/>
      <c r="S101" s="34">
        <v>729</v>
      </c>
    </row>
    <row r="102" spans="1:19" ht="16.5" x14ac:dyDescent="0.35">
      <c r="A102" s="104" t="str">
        <f>HYPERLINK("https://www.examplebusiness.com/resource-center/estate/put-it-in-a-letter","https://www.examplebusiness.com/resource-center/estate/put-it-in-a-letter")</f>
        <v>https://www.examplebusiness.com/resource-center/estate/put-it-in-a-letter</v>
      </c>
      <c r="B102" s="34">
        <v>200</v>
      </c>
      <c r="C102" s="34"/>
      <c r="D102" s="20" t="s">
        <v>2142</v>
      </c>
      <c r="E102" s="34" t="s">
        <v>691</v>
      </c>
      <c r="F102" s="34">
        <v>34</v>
      </c>
      <c r="G102" s="34">
        <v>275</v>
      </c>
      <c r="H102" s="20"/>
      <c r="I102" s="20"/>
      <c r="J102" s="34" t="s">
        <v>694</v>
      </c>
      <c r="K102" s="34">
        <v>0</v>
      </c>
      <c r="L102" s="34">
        <v>0</v>
      </c>
      <c r="M102" s="20"/>
      <c r="N102" s="102" t="s">
        <v>870</v>
      </c>
      <c r="O102" s="20"/>
      <c r="P102" s="20" t="s">
        <v>871</v>
      </c>
      <c r="Q102" s="20" t="s">
        <v>872</v>
      </c>
      <c r="R102" s="20"/>
      <c r="S102" s="34">
        <v>599</v>
      </c>
    </row>
    <row r="103" spans="1:19" ht="16.5" x14ac:dyDescent="0.35">
      <c r="A103" s="104" t="str">
        <f>HYPERLINK("https://www.examplebusiness.com/resource-center/estate/revising-estate-strategy-assumptions","https://www.examplebusiness.com/resource-center/estate/revising-estate-strategy-assumptions")</f>
        <v>https://www.examplebusiness.com/resource-center/estate/revising-estate-strategy-assumptions</v>
      </c>
      <c r="B103" s="34">
        <v>200</v>
      </c>
      <c r="C103" s="34"/>
      <c r="D103" s="20" t="s">
        <v>2143</v>
      </c>
      <c r="E103" s="34" t="s">
        <v>691</v>
      </c>
      <c r="F103" s="34">
        <v>52</v>
      </c>
      <c r="G103" s="34">
        <v>467</v>
      </c>
      <c r="H103" s="20"/>
      <c r="I103" s="20"/>
      <c r="J103" s="34" t="s">
        <v>694</v>
      </c>
      <c r="K103" s="34">
        <v>0</v>
      </c>
      <c r="L103" s="34">
        <v>0</v>
      </c>
      <c r="M103" s="20"/>
      <c r="N103" s="102" t="s">
        <v>873</v>
      </c>
      <c r="O103" s="20"/>
      <c r="P103" s="20" t="s">
        <v>874</v>
      </c>
      <c r="Q103" s="20" t="s">
        <v>875</v>
      </c>
      <c r="R103" s="20"/>
      <c r="S103" s="34">
        <v>617</v>
      </c>
    </row>
    <row r="104" spans="1:19" ht="16.5" x14ac:dyDescent="0.35">
      <c r="A104" s="104" t="str">
        <f>HYPERLINK("https://www.examplebusiness.com/resource-center/estate/safeguard-your-digital-estate","https://www.examplebusiness.com/resource-center/estate/safeguard-your-digital-estate")</f>
        <v>https://www.examplebusiness.com/resource-center/estate/safeguard-your-digital-estate</v>
      </c>
      <c r="B104" s="34">
        <v>200</v>
      </c>
      <c r="C104" s="34"/>
      <c r="D104" s="20" t="s">
        <v>2144</v>
      </c>
      <c r="E104" s="34" t="s">
        <v>691</v>
      </c>
      <c r="F104" s="34">
        <v>45</v>
      </c>
      <c r="G104" s="34">
        <v>395</v>
      </c>
      <c r="H104" s="20"/>
      <c r="I104" s="20"/>
      <c r="J104" s="34" t="s">
        <v>694</v>
      </c>
      <c r="K104" s="34">
        <v>0</v>
      </c>
      <c r="L104" s="34">
        <v>0</v>
      </c>
      <c r="M104" s="20"/>
      <c r="N104" s="102" t="s">
        <v>876</v>
      </c>
      <c r="O104" s="20"/>
      <c r="P104" s="20" t="s">
        <v>843</v>
      </c>
      <c r="Q104" s="20" t="s">
        <v>845</v>
      </c>
      <c r="R104" s="20"/>
      <c r="S104" s="34">
        <v>105</v>
      </c>
    </row>
    <row r="105" spans="1:19" ht="16.5" x14ac:dyDescent="0.35">
      <c r="A105" s="104" t="str">
        <f>HYPERLINK("https://www.examplebusiness.com/resource-center/estate/succeeding-at-business-succession","https://www.examplebusiness.com/resource-center/estate/succeeding-at-business-succession")</f>
        <v>https://www.examplebusiness.com/resource-center/estate/succeeding-at-business-succession</v>
      </c>
      <c r="B105" s="34">
        <v>200</v>
      </c>
      <c r="C105" s="34"/>
      <c r="D105" s="20" t="s">
        <v>2145</v>
      </c>
      <c r="E105" s="34" t="s">
        <v>691</v>
      </c>
      <c r="F105" s="34">
        <v>49</v>
      </c>
      <c r="G105" s="34">
        <v>446</v>
      </c>
      <c r="H105" s="20"/>
      <c r="I105" s="20"/>
      <c r="J105" s="34" t="s">
        <v>694</v>
      </c>
      <c r="K105" s="34">
        <v>0</v>
      </c>
      <c r="L105" s="34">
        <v>0</v>
      </c>
      <c r="M105" s="20"/>
      <c r="N105" s="102" t="s">
        <v>877</v>
      </c>
      <c r="O105" s="20"/>
      <c r="P105" s="20" t="s">
        <v>843</v>
      </c>
      <c r="Q105" s="20" t="s">
        <v>845</v>
      </c>
      <c r="R105" s="20"/>
      <c r="S105" s="34">
        <v>661</v>
      </c>
    </row>
    <row r="106" spans="1:19" ht="16.5" x14ac:dyDescent="0.35">
      <c r="A106" s="104" t="str">
        <f>HYPERLINK("https://www.examplebusiness.com/resource-center/estate/test-your-estate-strategy-knowledge","https://www.examplebusiness.com/resource-center/estate/test-your-estate-strategy-knowledge")</f>
        <v>https://www.examplebusiness.com/resource-center/estate/test-your-estate-strategy-knowledge</v>
      </c>
      <c r="B106" s="34">
        <v>200</v>
      </c>
      <c r="C106" s="34"/>
      <c r="D106" s="20" t="s">
        <v>2146</v>
      </c>
      <c r="E106" s="34" t="s">
        <v>691</v>
      </c>
      <c r="F106" s="34">
        <v>51</v>
      </c>
      <c r="G106" s="34">
        <v>467</v>
      </c>
      <c r="H106" s="20"/>
      <c r="I106" s="20"/>
      <c r="J106" s="34" t="s">
        <v>694</v>
      </c>
      <c r="K106" s="34">
        <v>0</v>
      </c>
      <c r="L106" s="34">
        <v>0</v>
      </c>
      <c r="M106" s="20"/>
      <c r="N106" s="102" t="s">
        <v>878</v>
      </c>
      <c r="O106" s="20"/>
      <c r="P106" s="20" t="s">
        <v>843</v>
      </c>
      <c r="Q106" s="20" t="s">
        <v>845</v>
      </c>
      <c r="R106" s="20"/>
      <c r="S106" s="34">
        <v>91</v>
      </c>
    </row>
    <row r="107" spans="1:19" ht="16.5" x14ac:dyDescent="0.35">
      <c r="A107" s="104" t="str">
        <f>HYPERLINK("https://www.examplebusiness.com/resource-center/estate/tips-for-finding-care-for-your-special-needs-child","https://www.examplebusiness.com/resource-center/estate/tips-for-finding-care-for-your-special-needs-child")</f>
        <v>https://www.examplebusiness.com/resource-center/estate/tips-for-finding-care-for-your-special-needs-child</v>
      </c>
      <c r="B107" s="34">
        <v>200</v>
      </c>
      <c r="C107" s="34"/>
      <c r="D107" s="20" t="s">
        <v>2147</v>
      </c>
      <c r="E107" s="34" t="s">
        <v>691</v>
      </c>
      <c r="F107" s="34">
        <v>61</v>
      </c>
      <c r="G107" s="34">
        <v>526</v>
      </c>
      <c r="H107" s="20"/>
      <c r="I107" s="20"/>
      <c r="J107" s="34" t="s">
        <v>694</v>
      </c>
      <c r="K107" s="34">
        <v>0</v>
      </c>
      <c r="L107" s="34">
        <v>0</v>
      </c>
      <c r="M107" s="20"/>
      <c r="N107" s="102" t="s">
        <v>879</v>
      </c>
      <c r="O107" s="20"/>
      <c r="P107" s="20" t="s">
        <v>880</v>
      </c>
      <c r="Q107" s="20" t="s">
        <v>881</v>
      </c>
      <c r="R107" s="20"/>
      <c r="S107" s="34">
        <v>571</v>
      </c>
    </row>
    <row r="108" spans="1:19" ht="16.5" x14ac:dyDescent="0.35">
      <c r="A108" s="104" t="str">
        <f>HYPERLINK("https://www.examplebusiness.com/resource-center/estate/trends-in-charitable-giving","https://www.examplebusiness.com/resource-center/estate/trends-in-charitable-giving")</f>
        <v>https://www.examplebusiness.com/resource-center/estate/trends-in-charitable-giving</v>
      </c>
      <c r="B108" s="34">
        <v>200</v>
      </c>
      <c r="C108" s="34"/>
      <c r="D108" s="20" t="s">
        <v>2148</v>
      </c>
      <c r="E108" s="34" t="s">
        <v>691</v>
      </c>
      <c r="F108" s="34">
        <v>43</v>
      </c>
      <c r="G108" s="34">
        <v>369</v>
      </c>
      <c r="H108" s="20"/>
      <c r="I108" s="20"/>
      <c r="J108" s="34" t="s">
        <v>694</v>
      </c>
      <c r="K108" s="34">
        <v>0</v>
      </c>
      <c r="L108" s="34">
        <v>0</v>
      </c>
      <c r="M108" s="20"/>
      <c r="N108" s="102" t="s">
        <v>882</v>
      </c>
      <c r="O108" s="20"/>
      <c r="P108" s="20" t="s">
        <v>843</v>
      </c>
      <c r="Q108" s="20" t="s">
        <v>845</v>
      </c>
      <c r="R108" s="20"/>
      <c r="S108" s="34">
        <v>703</v>
      </c>
    </row>
    <row r="109" spans="1:19" ht="16.5" x14ac:dyDescent="0.35">
      <c r="A109" s="104" t="str">
        <f>HYPERLINK("https://www.examplebusiness.com/resource-center/estate/what-is-my-life-expectancy","https://www.examplebusiness.com/resource-center/estate/what-is-my-life-expectancy")</f>
        <v>https://www.examplebusiness.com/resource-center/estate/what-is-my-life-expectancy</v>
      </c>
      <c r="B109" s="34">
        <v>200</v>
      </c>
      <c r="C109" s="34"/>
      <c r="D109" s="20" t="s">
        <v>2149</v>
      </c>
      <c r="E109" s="34" t="s">
        <v>691</v>
      </c>
      <c r="F109" s="34">
        <v>43</v>
      </c>
      <c r="G109" s="34">
        <v>390</v>
      </c>
      <c r="H109" s="20"/>
      <c r="I109" s="20"/>
      <c r="J109" s="34" t="s">
        <v>694</v>
      </c>
      <c r="K109" s="34">
        <v>0</v>
      </c>
      <c r="L109" s="34">
        <v>0</v>
      </c>
      <c r="M109" s="20"/>
      <c r="N109" s="102" t="s">
        <v>883</v>
      </c>
      <c r="O109" s="20"/>
      <c r="P109" s="20" t="s">
        <v>843</v>
      </c>
      <c r="Q109" s="20" t="s">
        <v>845</v>
      </c>
      <c r="R109" s="20"/>
      <c r="S109" s="34">
        <v>130</v>
      </c>
    </row>
    <row r="110" spans="1:19" ht="16.5" x14ac:dyDescent="0.35">
      <c r="A110" s="104" t="str">
        <f>HYPERLINK("https://www.examplebusiness.com/resource-center/estate/what-is-the-value-of-your-business","https://www.examplebusiness.com/resource-center/estate/what-is-the-value-of-your-business")</f>
        <v>https://www.examplebusiness.com/resource-center/estate/what-is-the-value-of-your-business</v>
      </c>
      <c r="B110" s="34">
        <v>200</v>
      </c>
      <c r="C110" s="34"/>
      <c r="D110" s="20" t="s">
        <v>2150</v>
      </c>
      <c r="E110" s="34" t="s">
        <v>691</v>
      </c>
      <c r="F110" s="34">
        <v>51</v>
      </c>
      <c r="G110" s="34">
        <v>453</v>
      </c>
      <c r="H110" s="20"/>
      <c r="I110" s="20"/>
      <c r="J110" s="34" t="s">
        <v>694</v>
      </c>
      <c r="K110" s="34">
        <v>0</v>
      </c>
      <c r="L110" s="34">
        <v>0</v>
      </c>
      <c r="M110" s="20"/>
      <c r="N110" s="102" t="s">
        <v>884</v>
      </c>
      <c r="O110" s="20"/>
      <c r="P110" s="20" t="s">
        <v>885</v>
      </c>
      <c r="Q110" s="20" t="s">
        <v>843</v>
      </c>
      <c r="R110" s="20"/>
      <c r="S110" s="34">
        <v>589</v>
      </c>
    </row>
    <row r="111" spans="1:19" ht="16.5" x14ac:dyDescent="0.35">
      <c r="A111" s="104" t="str">
        <f>HYPERLINK("https://www.examplebusiness.com/resource-center/estate/whats-is-my-current-net-worth","https://www.examplebusiness.com/resource-center/estate/whats-is-my-current-net-worth")</f>
        <v>https://www.examplebusiness.com/resource-center/estate/whats-is-my-current-net-worth</v>
      </c>
      <c r="B111" s="34">
        <v>200</v>
      </c>
      <c r="C111" s="34"/>
      <c r="D111" s="20" t="s">
        <v>2151</v>
      </c>
      <c r="E111" s="34" t="s">
        <v>691</v>
      </c>
      <c r="F111" s="34">
        <v>45</v>
      </c>
      <c r="G111" s="34">
        <v>411</v>
      </c>
      <c r="H111" s="20"/>
      <c r="I111" s="20"/>
      <c r="J111" s="34" t="s">
        <v>694</v>
      </c>
      <c r="K111" s="34">
        <v>0</v>
      </c>
      <c r="L111" s="34">
        <v>0</v>
      </c>
      <c r="M111" s="20"/>
      <c r="N111" s="102" t="s">
        <v>886</v>
      </c>
      <c r="O111" s="20"/>
      <c r="P111" s="20" t="s">
        <v>843</v>
      </c>
      <c r="Q111" s="20" t="s">
        <v>845</v>
      </c>
      <c r="R111" s="20"/>
      <c r="S111" s="34">
        <v>131</v>
      </c>
    </row>
    <row r="112" spans="1:19" ht="16.5" x14ac:dyDescent="0.35">
      <c r="A112" s="104" t="str">
        <f>HYPERLINK("https://www.examplebusiness.com/resource-center/estate/whats-my-potential-estate-tax","https://www.examplebusiness.com/resource-center/estate/whats-my-potential-estate-tax")</f>
        <v>https://www.examplebusiness.com/resource-center/estate/whats-my-potential-estate-tax</v>
      </c>
      <c r="B112" s="34">
        <v>200</v>
      </c>
      <c r="C112" s="34"/>
      <c r="D112" s="20" t="s">
        <v>2152</v>
      </c>
      <c r="E112" s="34" t="s">
        <v>691</v>
      </c>
      <c r="F112" s="34">
        <v>47</v>
      </c>
      <c r="G112" s="34">
        <v>420</v>
      </c>
      <c r="H112" s="20"/>
      <c r="I112" s="20"/>
      <c r="J112" s="34" t="s">
        <v>694</v>
      </c>
      <c r="K112" s="34">
        <v>0</v>
      </c>
      <c r="L112" s="34">
        <v>0</v>
      </c>
      <c r="M112" s="20"/>
      <c r="N112" s="102" t="s">
        <v>887</v>
      </c>
      <c r="O112" s="20"/>
      <c r="P112" s="20" t="s">
        <v>843</v>
      </c>
      <c r="Q112" s="20" t="s">
        <v>845</v>
      </c>
      <c r="R112" s="20"/>
      <c r="S112" s="34">
        <v>125</v>
      </c>
    </row>
    <row r="113" spans="1:19" ht="16.5" x14ac:dyDescent="0.35">
      <c r="A113" s="104" t="str">
        <f>HYPERLINK("https://www.examplebusiness.com/resource-center/estate/when-do-you-need-a-will","https://www.examplebusiness.com/resource-center/estate/when-do-you-need-a-will")</f>
        <v>https://www.examplebusiness.com/resource-center/estate/when-do-you-need-a-will</v>
      </c>
      <c r="B113" s="34">
        <v>200</v>
      </c>
      <c r="C113" s="34"/>
      <c r="D113" s="20" t="s">
        <v>2153</v>
      </c>
      <c r="E113" s="34" t="s">
        <v>691</v>
      </c>
      <c r="F113" s="34">
        <v>40</v>
      </c>
      <c r="G113" s="34">
        <v>372</v>
      </c>
      <c r="H113" s="20"/>
      <c r="I113" s="20"/>
      <c r="J113" s="34" t="s">
        <v>694</v>
      </c>
      <c r="K113" s="34">
        <v>0</v>
      </c>
      <c r="L113" s="34">
        <v>0</v>
      </c>
      <c r="M113" s="20"/>
      <c r="N113" s="102" t="s">
        <v>888</v>
      </c>
      <c r="O113" s="20"/>
      <c r="P113" s="20" t="s">
        <v>843</v>
      </c>
      <c r="Q113" s="20" t="s">
        <v>845</v>
      </c>
      <c r="R113" s="20"/>
      <c r="S113" s="34">
        <v>108</v>
      </c>
    </row>
    <row r="114" spans="1:19" ht="16.5" x14ac:dyDescent="0.35">
      <c r="A114" s="104" t="str">
        <f>HYPERLINK("https://www.examplebusiness.com/resource-center/estate/when-heirs-are-imperfect","https://www.examplebusiness.com/resource-center/estate/when-heirs-are-imperfect")</f>
        <v>https://www.examplebusiness.com/resource-center/estate/when-heirs-are-imperfect</v>
      </c>
      <c r="B114" s="34">
        <v>200</v>
      </c>
      <c r="C114" s="34"/>
      <c r="D114" s="20" t="s">
        <v>2154</v>
      </c>
      <c r="E114" s="34" t="s">
        <v>691</v>
      </c>
      <c r="F114" s="34">
        <v>40</v>
      </c>
      <c r="G114" s="34">
        <v>359</v>
      </c>
      <c r="H114" s="20"/>
      <c r="I114" s="20"/>
      <c r="J114" s="34" t="s">
        <v>694</v>
      </c>
      <c r="K114" s="34">
        <v>0</v>
      </c>
      <c r="L114" s="34">
        <v>0</v>
      </c>
      <c r="M114" s="20"/>
      <c r="N114" s="102" t="s">
        <v>889</v>
      </c>
      <c r="O114" s="20"/>
      <c r="P114" s="20" t="s">
        <v>890</v>
      </c>
      <c r="Q114" s="20" t="s">
        <v>891</v>
      </c>
      <c r="R114" s="20"/>
      <c r="S114" s="34">
        <v>603</v>
      </c>
    </row>
    <row r="115" spans="1:19" ht="16.5" x14ac:dyDescent="0.35">
      <c r="A115" s="104" t="str">
        <f>HYPERLINK("https://www.examplebusiness.com/resource-center/estate/when-special-care-is-needed-the-special-needs-trust","https://www.examplebusiness.com/resource-center/estate/when-special-care-is-needed-the-special-needs-trust")</f>
        <v>https://www.examplebusiness.com/resource-center/estate/when-special-care-is-needed-the-special-needs-trust</v>
      </c>
      <c r="B115" s="34">
        <v>200</v>
      </c>
      <c r="C115" s="34"/>
      <c r="D115" s="20" t="s">
        <v>2155</v>
      </c>
      <c r="E115" s="34" t="s">
        <v>691</v>
      </c>
      <c r="F115" s="34">
        <v>68</v>
      </c>
      <c r="G115" s="34">
        <v>626</v>
      </c>
      <c r="H115" s="20"/>
      <c r="I115" s="20"/>
      <c r="J115" s="34" t="s">
        <v>694</v>
      </c>
      <c r="K115" s="34">
        <v>0</v>
      </c>
      <c r="L115" s="34">
        <v>0</v>
      </c>
      <c r="M115" s="20"/>
      <c r="N115" s="102" t="s">
        <v>892</v>
      </c>
      <c r="O115" s="20"/>
      <c r="P115" s="20" t="s">
        <v>843</v>
      </c>
      <c r="Q115" s="20" t="s">
        <v>845</v>
      </c>
      <c r="R115" s="20"/>
      <c r="S115" s="34">
        <v>109</v>
      </c>
    </row>
    <row r="116" spans="1:19" ht="16.5" x14ac:dyDescent="0.35">
      <c r="A116" s="104" t="str">
        <f>HYPERLINK("https://www.examplebusiness.com/resource-center/estate/why-everyone-needs-an-estate-strategy","https://www.examplebusiness.com/resource-center/estate/why-everyone-needs-an-estate-strategy")</f>
        <v>https://www.examplebusiness.com/resource-center/estate/why-everyone-needs-an-estate-strategy</v>
      </c>
      <c r="B116" s="34">
        <v>200</v>
      </c>
      <c r="C116" s="34"/>
      <c r="D116" s="20" t="s">
        <v>2156</v>
      </c>
      <c r="E116" s="34" t="s">
        <v>691</v>
      </c>
      <c r="F116" s="34">
        <v>53</v>
      </c>
      <c r="G116" s="34">
        <v>493</v>
      </c>
      <c r="H116" s="20"/>
      <c r="I116" s="20"/>
      <c r="J116" s="34" t="s">
        <v>694</v>
      </c>
      <c r="K116" s="34">
        <v>0</v>
      </c>
      <c r="L116" s="34">
        <v>0</v>
      </c>
      <c r="M116" s="20"/>
      <c r="N116" s="102" t="s">
        <v>893</v>
      </c>
      <c r="O116" s="20"/>
      <c r="P116" s="20" t="s">
        <v>843</v>
      </c>
      <c r="Q116" s="20" t="s">
        <v>845</v>
      </c>
      <c r="R116" s="20"/>
      <c r="S116" s="34">
        <v>89</v>
      </c>
    </row>
    <row r="117" spans="1:19" ht="16.5" x14ac:dyDescent="0.35">
      <c r="A117" s="104" t="str">
        <f>HYPERLINK("https://www.examplebusiness.com/resource-center/estate/will-power","https://www.examplebusiness.com/resource-center/estate/will-power")</f>
        <v>https://www.examplebusiness.com/resource-center/estate/will-power</v>
      </c>
      <c r="B117" s="34">
        <v>200</v>
      </c>
      <c r="C117" s="34"/>
      <c r="D117" s="20" t="s">
        <v>2157</v>
      </c>
      <c r="E117" s="34" t="s">
        <v>691</v>
      </c>
      <c r="F117" s="34">
        <v>26</v>
      </c>
      <c r="G117" s="34">
        <v>227</v>
      </c>
      <c r="H117" s="20"/>
      <c r="I117" s="20"/>
      <c r="J117" s="34" t="s">
        <v>694</v>
      </c>
      <c r="K117" s="34">
        <v>0</v>
      </c>
      <c r="L117" s="34">
        <v>0</v>
      </c>
      <c r="M117" s="20"/>
      <c r="N117" s="102" t="s">
        <v>894</v>
      </c>
      <c r="O117" s="20"/>
      <c r="P117" s="20" t="s">
        <v>843</v>
      </c>
      <c r="Q117" s="20" t="s">
        <v>845</v>
      </c>
      <c r="R117" s="20"/>
      <c r="S117" s="34">
        <v>723</v>
      </c>
    </row>
    <row r="118" spans="1:19" ht="16.5" x14ac:dyDescent="0.35">
      <c r="A118" s="104" t="str">
        <f>HYPERLINK("https://www.examplebusiness.com/resource-center/estate/yours-mine-and-ours-estate-strategies-for-second-marriages","https://www.examplebusiness.com/resource-center/estate/yours-mine-and-ours-estate-strategies-for-second-marriages")</f>
        <v>https://www.examplebusiness.com/resource-center/estate/yours-mine-and-ours-estate-strategies-for-second-marriages</v>
      </c>
      <c r="B118" s="34">
        <v>200</v>
      </c>
      <c r="C118" s="34"/>
      <c r="D118" s="20" t="s">
        <v>895</v>
      </c>
      <c r="E118" s="34" t="s">
        <v>691</v>
      </c>
      <c r="F118" s="34">
        <v>60</v>
      </c>
      <c r="G118" s="34">
        <v>555</v>
      </c>
      <c r="H118" s="20"/>
      <c r="I118" s="20"/>
      <c r="J118" s="34" t="s">
        <v>694</v>
      </c>
      <c r="K118" s="34">
        <v>0</v>
      </c>
      <c r="L118" s="34">
        <v>0</v>
      </c>
      <c r="M118" s="20"/>
      <c r="N118" s="102" t="s">
        <v>896</v>
      </c>
      <c r="O118" s="20"/>
      <c r="P118" s="20" t="s">
        <v>897</v>
      </c>
      <c r="Q118" s="20" t="s">
        <v>843</v>
      </c>
      <c r="R118" s="20"/>
      <c r="S118" s="34">
        <v>607</v>
      </c>
    </row>
    <row r="119" spans="1:19" ht="16.5" x14ac:dyDescent="0.35">
      <c r="A119" s="104" t="str">
        <f>HYPERLINK("https://www.examplebusiness.com/resource-center/insurance","https://www.examplebusiness.com/resource-center/insurance")</f>
        <v>https://www.examplebusiness.com/resource-center/insurance</v>
      </c>
      <c r="B119" s="34">
        <v>200</v>
      </c>
      <c r="C119" s="34"/>
      <c r="D119" s="20" t="s">
        <v>2158</v>
      </c>
      <c r="E119" s="34" t="s">
        <v>691</v>
      </c>
      <c r="F119" s="34">
        <v>25</v>
      </c>
      <c r="G119" s="34">
        <v>218</v>
      </c>
      <c r="H119" s="20"/>
      <c r="I119" s="20"/>
      <c r="J119" s="34" t="s">
        <v>694</v>
      </c>
      <c r="K119" s="34">
        <v>0</v>
      </c>
      <c r="L119" s="34">
        <v>0</v>
      </c>
      <c r="M119" s="20"/>
      <c r="N119" s="102" t="s">
        <v>826</v>
      </c>
      <c r="O119" s="20"/>
      <c r="P119" s="20" t="s">
        <v>898</v>
      </c>
      <c r="Q119" s="20" t="s">
        <v>899</v>
      </c>
      <c r="R119" s="20"/>
      <c r="S119" s="34">
        <v>834</v>
      </c>
    </row>
    <row r="120" spans="1:19" ht="16.5" x14ac:dyDescent="0.35">
      <c r="A120" s="104" t="str">
        <f>HYPERLINK("https://www.examplebusiness.com/resource-center/insurance/a-brief-guide-to-condo-insurance","https://www.examplebusiness.com/resource-center/insurance/a-brief-guide-to-condo-insurance")</f>
        <v>https://www.examplebusiness.com/resource-center/insurance/a-brief-guide-to-condo-insurance</v>
      </c>
      <c r="B120" s="34">
        <v>200</v>
      </c>
      <c r="C120" s="34"/>
      <c r="D120" s="20" t="s">
        <v>2159</v>
      </c>
      <c r="E120" s="34" t="s">
        <v>691</v>
      </c>
      <c r="F120" s="34">
        <v>48</v>
      </c>
      <c r="G120" s="34">
        <v>434</v>
      </c>
      <c r="H120" s="20"/>
      <c r="I120" s="20"/>
      <c r="J120" s="34" t="s">
        <v>694</v>
      </c>
      <c r="K120" s="34">
        <v>0</v>
      </c>
      <c r="L120" s="34">
        <v>0</v>
      </c>
      <c r="M120" s="20"/>
      <c r="N120" s="102" t="s">
        <v>900</v>
      </c>
      <c r="O120" s="20"/>
      <c r="P120" s="20" t="s">
        <v>843</v>
      </c>
      <c r="Q120" s="20" t="s">
        <v>845</v>
      </c>
      <c r="R120" s="20"/>
      <c r="S120" s="34">
        <v>520</v>
      </c>
    </row>
    <row r="121" spans="1:19" ht="16.5" x14ac:dyDescent="0.35">
      <c r="A121" s="104" t="str">
        <f>HYPERLINK("https://www.examplebusiness.com/resource-center/insurance/a-home-insurance-claim-to-file-or-not-to-file","https://www.examplebusiness.com/resource-center/insurance/a-home-insurance-claim-to-file-or-not-to-file")</f>
        <v>https://www.examplebusiness.com/resource-center/insurance/a-home-insurance-claim-to-file-or-not-to-file</v>
      </c>
      <c r="B121" s="34">
        <v>200</v>
      </c>
      <c r="C121" s="34"/>
      <c r="D121" s="20" t="s">
        <v>901</v>
      </c>
      <c r="E121" s="34" t="s">
        <v>691</v>
      </c>
      <c r="F121" s="34">
        <v>45</v>
      </c>
      <c r="G121" s="34">
        <v>413</v>
      </c>
      <c r="H121" s="20"/>
      <c r="I121" s="20"/>
      <c r="J121" s="34" t="s">
        <v>694</v>
      </c>
      <c r="K121" s="34">
        <v>0</v>
      </c>
      <c r="L121" s="34">
        <v>0</v>
      </c>
      <c r="M121" s="20"/>
      <c r="N121" s="102" t="s">
        <v>902</v>
      </c>
      <c r="O121" s="20"/>
      <c r="P121" s="20" t="s">
        <v>843</v>
      </c>
      <c r="Q121" s="20" t="s">
        <v>845</v>
      </c>
      <c r="R121" s="20"/>
      <c r="S121" s="34">
        <v>553</v>
      </c>
    </row>
    <row r="122" spans="1:19" ht="16.5" x14ac:dyDescent="0.35">
      <c r="A122" s="104" t="str">
        <f>HYPERLINK("https://www.examplebusiness.com/resource-center/insurance/an-overview-of-renters-insurance","https://www.examplebusiness.com/resource-center/insurance/an-overview-of-renters-insurance")</f>
        <v>https://www.examplebusiness.com/resource-center/insurance/an-overview-of-renters-insurance</v>
      </c>
      <c r="B122" s="34">
        <v>200</v>
      </c>
      <c r="C122" s="34"/>
      <c r="D122" s="20" t="s">
        <v>2160</v>
      </c>
      <c r="E122" s="34" t="s">
        <v>691</v>
      </c>
      <c r="F122" s="34">
        <v>49</v>
      </c>
      <c r="G122" s="34">
        <v>437</v>
      </c>
      <c r="H122" s="20"/>
      <c r="I122" s="20"/>
      <c r="J122" s="34" t="s">
        <v>694</v>
      </c>
      <c r="K122" s="34">
        <v>0</v>
      </c>
      <c r="L122" s="34">
        <v>0</v>
      </c>
      <c r="M122" s="20"/>
      <c r="N122" s="102" t="s">
        <v>903</v>
      </c>
      <c r="O122" s="20"/>
      <c r="P122" s="20" t="s">
        <v>843</v>
      </c>
      <c r="Q122" s="20" t="s">
        <v>845</v>
      </c>
      <c r="R122" s="20"/>
      <c r="S122" s="34">
        <v>566</v>
      </c>
    </row>
    <row r="123" spans="1:19" ht="16.5" x14ac:dyDescent="0.35">
      <c r="A123" s="104" t="str">
        <f>HYPERLINK("https://www.examplebusiness.com/resource-center/insurance/assess-life-insurance-needs","https://www.examplebusiness.com/resource-center/insurance/assess-life-insurance-needs")</f>
        <v>https://www.examplebusiness.com/resource-center/insurance/assess-life-insurance-needs</v>
      </c>
      <c r="B123" s="34">
        <v>200</v>
      </c>
      <c r="C123" s="34"/>
      <c r="D123" s="20" t="s">
        <v>2161</v>
      </c>
      <c r="E123" s="34" t="s">
        <v>691</v>
      </c>
      <c r="F123" s="34">
        <v>43</v>
      </c>
      <c r="G123" s="34">
        <v>388</v>
      </c>
      <c r="H123" s="20"/>
      <c r="I123" s="20"/>
      <c r="J123" s="34" t="s">
        <v>694</v>
      </c>
      <c r="K123" s="34">
        <v>0</v>
      </c>
      <c r="L123" s="34">
        <v>0</v>
      </c>
      <c r="M123" s="20"/>
      <c r="N123" s="102" t="s">
        <v>904</v>
      </c>
      <c r="O123" s="20"/>
      <c r="P123" s="20" t="s">
        <v>905</v>
      </c>
      <c r="Q123" s="20" t="s">
        <v>906</v>
      </c>
      <c r="R123" s="20"/>
      <c r="S123" s="34">
        <v>754</v>
      </c>
    </row>
    <row r="124" spans="1:19" ht="16.5" x14ac:dyDescent="0.35">
      <c r="A124" s="104" t="str">
        <f>HYPERLINK("https://www.examplebusiness.com/resource-center/insurance/assess-your-life-insurance-needs","https://www.examplebusiness.com/resource-center/insurance/assess-your-life-insurance-needs")</f>
        <v>https://www.examplebusiness.com/resource-center/insurance/assess-your-life-insurance-needs</v>
      </c>
      <c r="B124" s="34">
        <v>200</v>
      </c>
      <c r="C124" s="34"/>
      <c r="D124" s="20" t="s">
        <v>2162</v>
      </c>
      <c r="E124" s="34" t="s">
        <v>691</v>
      </c>
      <c r="F124" s="34">
        <v>48</v>
      </c>
      <c r="G124" s="34">
        <v>436</v>
      </c>
      <c r="H124" s="20"/>
      <c r="I124" s="20"/>
      <c r="J124" s="34" t="s">
        <v>694</v>
      </c>
      <c r="K124" s="34">
        <v>0</v>
      </c>
      <c r="L124" s="34">
        <v>0</v>
      </c>
      <c r="M124" s="20"/>
      <c r="N124" s="102" t="s">
        <v>907</v>
      </c>
      <c r="O124" s="20"/>
      <c r="P124" s="20" t="s">
        <v>843</v>
      </c>
      <c r="Q124" s="20" t="s">
        <v>845</v>
      </c>
      <c r="R124" s="20"/>
      <c r="S124" s="34">
        <v>143</v>
      </c>
    </row>
    <row r="125" spans="1:19" ht="16.5" x14ac:dyDescent="0.35">
      <c r="A125" s="104" t="str">
        <f>HYPERLINK("https://www.examplebusiness.com/resource-center/insurance/breaking-down-the-parts-of-medicare","https://www.examplebusiness.com/resource-center/insurance/breaking-down-the-parts-of-medicare")</f>
        <v>https://www.examplebusiness.com/resource-center/insurance/breaking-down-the-parts-of-medicare</v>
      </c>
      <c r="B125" s="34">
        <v>200</v>
      </c>
      <c r="C125" s="34"/>
      <c r="D125" s="20" t="s">
        <v>2163</v>
      </c>
      <c r="E125" s="34" t="s">
        <v>691</v>
      </c>
      <c r="F125" s="34">
        <v>51</v>
      </c>
      <c r="G125" s="34">
        <v>463</v>
      </c>
      <c r="H125" s="20"/>
      <c r="I125" s="20"/>
      <c r="J125" s="34" t="s">
        <v>694</v>
      </c>
      <c r="K125" s="34">
        <v>0</v>
      </c>
      <c r="L125" s="34">
        <v>0</v>
      </c>
      <c r="M125" s="20"/>
      <c r="N125" s="102" t="s">
        <v>908</v>
      </c>
      <c r="O125" s="20"/>
      <c r="P125" s="20" t="s">
        <v>909</v>
      </c>
      <c r="Q125" s="20" t="s">
        <v>843</v>
      </c>
      <c r="R125" s="20"/>
      <c r="S125" s="34">
        <v>634</v>
      </c>
    </row>
    <row r="126" spans="1:19" ht="16.5" x14ac:dyDescent="0.35">
      <c r="A126" s="104" t="str">
        <f>HYPERLINK("https://www.examplebusiness.com/resource-center/insurance/buying-auto-insurance-for-teen-drivers","https://www.examplebusiness.com/resource-center/insurance/buying-auto-insurance-for-teen-drivers")</f>
        <v>https://www.examplebusiness.com/resource-center/insurance/buying-auto-insurance-for-teen-drivers</v>
      </c>
      <c r="B126" s="34">
        <v>200</v>
      </c>
      <c r="C126" s="34"/>
      <c r="D126" s="20" t="s">
        <v>2164</v>
      </c>
      <c r="E126" s="34" t="s">
        <v>691</v>
      </c>
      <c r="F126" s="34">
        <v>54</v>
      </c>
      <c r="G126" s="34">
        <v>482</v>
      </c>
      <c r="H126" s="20"/>
      <c r="I126" s="20"/>
      <c r="J126" s="34" t="s">
        <v>694</v>
      </c>
      <c r="K126" s="34">
        <v>0</v>
      </c>
      <c r="L126" s="34">
        <v>0</v>
      </c>
      <c r="M126" s="20"/>
      <c r="N126" s="102" t="s">
        <v>910</v>
      </c>
      <c r="O126" s="20"/>
      <c r="P126" s="20" t="s">
        <v>911</v>
      </c>
      <c r="Q126" s="20" t="s">
        <v>912</v>
      </c>
      <c r="R126" s="20"/>
      <c r="S126" s="34">
        <v>469</v>
      </c>
    </row>
    <row r="127" spans="1:19" ht="16.5" x14ac:dyDescent="0.35">
      <c r="A127" s="104" t="str">
        <f>HYPERLINK("https://www.examplebusiness.com/resource-center/insurance/can-group-private-disability-policies-work-together","https://www.examplebusiness.com/resource-center/insurance/can-group-private-disability-policies-work-together")</f>
        <v>https://www.examplebusiness.com/resource-center/insurance/can-group-private-disability-policies-work-together</v>
      </c>
      <c r="B127" s="34">
        <v>200</v>
      </c>
      <c r="C127" s="34"/>
      <c r="D127" s="20" t="s">
        <v>2165</v>
      </c>
      <c r="E127" s="34" t="s">
        <v>691</v>
      </c>
      <c r="F127" s="34">
        <v>69</v>
      </c>
      <c r="G127" s="34">
        <v>608</v>
      </c>
      <c r="H127" s="20"/>
      <c r="I127" s="20"/>
      <c r="J127" s="34" t="s">
        <v>694</v>
      </c>
      <c r="K127" s="34">
        <v>0</v>
      </c>
      <c r="L127" s="34">
        <v>0</v>
      </c>
      <c r="M127" s="20"/>
      <c r="N127" s="102" t="s">
        <v>913</v>
      </c>
      <c r="O127" s="20"/>
      <c r="P127" s="20" t="s">
        <v>914</v>
      </c>
      <c r="Q127" s="20" t="s">
        <v>915</v>
      </c>
      <c r="R127" s="20"/>
      <c r="S127" s="34">
        <v>602</v>
      </c>
    </row>
    <row r="128" spans="1:19" ht="16.5" x14ac:dyDescent="0.35">
      <c r="A128" s="104" t="str">
        <f>HYPERLINK("https://www.examplebusiness.com/resource-center/insurance/directors-and-officers-liability-insurance-1","https://www.examplebusiness.com/resource-center/insurance/directors-and-officers-liability-insurance-1")</f>
        <v>https://www.examplebusiness.com/resource-center/insurance/directors-and-officers-liability-insurance-1</v>
      </c>
      <c r="B128" s="34">
        <v>200</v>
      </c>
      <c r="C128" s="34"/>
      <c r="D128" s="20" t="s">
        <v>2166</v>
      </c>
      <c r="E128" s="34" t="s">
        <v>691</v>
      </c>
      <c r="F128" s="34">
        <v>58</v>
      </c>
      <c r="G128" s="34">
        <v>489</v>
      </c>
      <c r="H128" s="20"/>
      <c r="I128" s="20"/>
      <c r="J128" s="34" t="s">
        <v>694</v>
      </c>
      <c r="K128" s="34">
        <v>0</v>
      </c>
      <c r="L128" s="34">
        <v>0</v>
      </c>
      <c r="M128" s="20"/>
      <c r="N128" s="102" t="s">
        <v>916</v>
      </c>
      <c r="O128" s="20"/>
      <c r="P128" s="20" t="s">
        <v>917</v>
      </c>
      <c r="Q128" s="20" t="s">
        <v>843</v>
      </c>
      <c r="R128" s="20"/>
      <c r="S128" s="34">
        <v>464</v>
      </c>
    </row>
    <row r="129" spans="1:19" ht="16.5" x14ac:dyDescent="0.35">
      <c r="A129" s="104" t="str">
        <f>HYPERLINK("https://www.examplebusiness.com/resource-center/insurance/disability-and-your-finances","https://www.examplebusiness.com/resource-center/insurance/disability-and-your-finances")</f>
        <v>https://www.examplebusiness.com/resource-center/insurance/disability-and-your-finances</v>
      </c>
      <c r="B129" s="34">
        <v>200</v>
      </c>
      <c r="C129" s="34"/>
      <c r="D129" s="20" t="s">
        <v>2167</v>
      </c>
      <c r="E129" s="34" t="s">
        <v>691</v>
      </c>
      <c r="F129" s="34">
        <v>44</v>
      </c>
      <c r="G129" s="34">
        <v>381</v>
      </c>
      <c r="H129" s="20"/>
      <c r="I129" s="20"/>
      <c r="J129" s="34" t="s">
        <v>694</v>
      </c>
      <c r="K129" s="34">
        <v>0</v>
      </c>
      <c r="L129" s="34">
        <v>0</v>
      </c>
      <c r="M129" s="20"/>
      <c r="N129" s="102" t="s">
        <v>918</v>
      </c>
      <c r="O129" s="20"/>
      <c r="P129" s="20" t="s">
        <v>919</v>
      </c>
      <c r="Q129" s="20" t="s">
        <v>920</v>
      </c>
      <c r="R129" s="20"/>
      <c r="S129" s="34">
        <v>757</v>
      </c>
    </row>
    <row r="130" spans="1:19" ht="16.5" x14ac:dyDescent="0.35">
      <c r="A130" s="104" t="str">
        <f>HYPERLINK("https://www.examplebusiness.com/resource-center/insurance/disability-income","https://www.examplebusiness.com/resource-center/insurance/disability-income")</f>
        <v>https://www.examplebusiness.com/resource-center/insurance/disability-income</v>
      </c>
      <c r="B130" s="34">
        <v>200</v>
      </c>
      <c r="C130" s="34"/>
      <c r="D130" s="20" t="s">
        <v>2168</v>
      </c>
      <c r="E130" s="34" t="s">
        <v>691</v>
      </c>
      <c r="F130" s="34">
        <v>33</v>
      </c>
      <c r="G130" s="34">
        <v>281</v>
      </c>
      <c r="H130" s="20"/>
      <c r="I130" s="20"/>
      <c r="J130" s="34" t="s">
        <v>694</v>
      </c>
      <c r="K130" s="34">
        <v>0</v>
      </c>
      <c r="L130" s="34">
        <v>0</v>
      </c>
      <c r="M130" s="20"/>
      <c r="N130" s="102" t="s">
        <v>921</v>
      </c>
      <c r="O130" s="20"/>
      <c r="P130" s="20" t="s">
        <v>843</v>
      </c>
      <c r="Q130" s="20" t="s">
        <v>845</v>
      </c>
      <c r="R130" s="20"/>
      <c r="S130" s="34">
        <v>132</v>
      </c>
    </row>
    <row r="131" spans="1:19" ht="16.5" x14ac:dyDescent="0.35">
      <c r="A131" s="104" t="str">
        <f>HYPERLINK("https://www.examplebusiness.com/resource-center/insurance/does-your-credit-score-affect-your-insurance-rates-1","https://www.examplebusiness.com/resource-center/insurance/does-your-credit-score-affect-your-insurance-rates-1")</f>
        <v>https://www.examplebusiness.com/resource-center/insurance/does-your-credit-score-affect-your-insurance-rates-1</v>
      </c>
      <c r="B131" s="34">
        <v>200</v>
      </c>
      <c r="C131" s="34"/>
      <c r="D131" s="20" t="s">
        <v>2169</v>
      </c>
      <c r="E131" s="34" t="s">
        <v>691</v>
      </c>
      <c r="F131" s="34">
        <v>67</v>
      </c>
      <c r="G131" s="34">
        <v>610</v>
      </c>
      <c r="H131" s="20"/>
      <c r="I131" s="20"/>
      <c r="J131" s="34" t="s">
        <v>694</v>
      </c>
      <c r="K131" s="34">
        <v>0</v>
      </c>
      <c r="L131" s="34">
        <v>0</v>
      </c>
      <c r="M131" s="20"/>
      <c r="N131" s="102" t="s">
        <v>922</v>
      </c>
      <c r="O131" s="20"/>
      <c r="P131" s="20" t="s">
        <v>923</v>
      </c>
      <c r="Q131" s="20" t="s">
        <v>843</v>
      </c>
      <c r="R131" s="20"/>
      <c r="S131" s="34">
        <v>489</v>
      </c>
    </row>
    <row r="132" spans="1:19" ht="16.5" x14ac:dyDescent="0.35">
      <c r="A132" s="104" t="str">
        <f>HYPERLINK("https://www.examplebusiness.com/resource-center/insurance/errors-and-omissions-insurance","https://www.examplebusiness.com/resource-center/insurance/errors-and-omissions-insurance")</f>
        <v>https://www.examplebusiness.com/resource-center/insurance/errors-and-omissions-insurance</v>
      </c>
      <c r="B132" s="34">
        <v>200</v>
      </c>
      <c r="C132" s="34"/>
      <c r="D132" s="20" t="s">
        <v>2170</v>
      </c>
      <c r="E132" s="34" t="s">
        <v>691</v>
      </c>
      <c r="F132" s="34">
        <v>46</v>
      </c>
      <c r="G132" s="34">
        <v>414</v>
      </c>
      <c r="H132" s="20"/>
      <c r="I132" s="20"/>
      <c r="J132" s="34" t="s">
        <v>694</v>
      </c>
      <c r="K132" s="34">
        <v>0</v>
      </c>
      <c r="L132" s="34">
        <v>0</v>
      </c>
      <c r="M132" s="20"/>
      <c r="N132" s="102" t="s">
        <v>924</v>
      </c>
      <c r="O132" s="20"/>
      <c r="P132" s="20" t="s">
        <v>925</v>
      </c>
      <c r="Q132" s="20" t="s">
        <v>843</v>
      </c>
      <c r="R132" s="20"/>
      <c r="S132" s="34">
        <v>430</v>
      </c>
    </row>
    <row r="133" spans="1:19" ht="16.5" x14ac:dyDescent="0.35">
      <c r="A133" s="104" t="str">
        <f>HYPERLINK("https://www.examplebusiness.com/resource-center/insurance/extended-care-a-patchwork-of-possibilities","https://www.examplebusiness.com/resource-center/insurance/extended-care-a-patchwork-of-possibilities")</f>
        <v>https://www.examplebusiness.com/resource-center/insurance/extended-care-a-patchwork-of-possibilities</v>
      </c>
      <c r="B133" s="34">
        <v>200</v>
      </c>
      <c r="C133" s="34"/>
      <c r="D133" s="20" t="s">
        <v>2171</v>
      </c>
      <c r="E133" s="34" t="s">
        <v>691</v>
      </c>
      <c r="F133" s="34">
        <v>59</v>
      </c>
      <c r="G133" s="34">
        <v>519</v>
      </c>
      <c r="H133" s="20"/>
      <c r="I133" s="20"/>
      <c r="J133" s="34" t="s">
        <v>694</v>
      </c>
      <c r="K133" s="34">
        <v>0</v>
      </c>
      <c r="L133" s="34">
        <v>0</v>
      </c>
      <c r="M133" s="20"/>
      <c r="N133" s="102" t="s">
        <v>926</v>
      </c>
      <c r="O133" s="20"/>
      <c r="P133" s="20" t="s">
        <v>843</v>
      </c>
      <c r="Q133" s="20" t="s">
        <v>845</v>
      </c>
      <c r="R133" s="20"/>
      <c r="S133" s="34">
        <v>103</v>
      </c>
    </row>
    <row r="134" spans="1:19" ht="16.5" x14ac:dyDescent="0.35">
      <c r="A134" s="104" t="str">
        <f>HYPERLINK("https://www.examplebusiness.com/resource-center/insurance/fallen-tree-damage-who-pays-1","https://www.examplebusiness.com/resource-center/insurance/fallen-tree-damage-who-pays-1")</f>
        <v>https://www.examplebusiness.com/resource-center/insurance/fallen-tree-damage-who-pays-1</v>
      </c>
      <c r="B134" s="34">
        <v>200</v>
      </c>
      <c r="C134" s="34"/>
      <c r="D134" s="20" t="s">
        <v>2172</v>
      </c>
      <c r="E134" s="34" t="s">
        <v>691</v>
      </c>
      <c r="F134" s="34">
        <v>44</v>
      </c>
      <c r="G134" s="34">
        <v>433</v>
      </c>
      <c r="H134" s="20"/>
      <c r="I134" s="20"/>
      <c r="J134" s="34" t="s">
        <v>694</v>
      </c>
      <c r="K134" s="34">
        <v>0</v>
      </c>
      <c r="L134" s="34">
        <v>0</v>
      </c>
      <c r="M134" s="20"/>
      <c r="N134" s="102" t="s">
        <v>927</v>
      </c>
      <c r="O134" s="20"/>
      <c r="P134" s="20" t="s">
        <v>928</v>
      </c>
      <c r="Q134" s="20" t="s">
        <v>843</v>
      </c>
      <c r="R134" s="20"/>
      <c r="S134" s="34">
        <v>483</v>
      </c>
    </row>
    <row r="135" spans="1:19" ht="16.5" x14ac:dyDescent="0.35">
      <c r="A135" s="104" t="str">
        <f>HYPERLINK("https://www.examplebusiness.com/resource-center/insurance/gun-ownership-and-your-homeowners-policy","https://www.examplebusiness.com/resource-center/insurance/gun-ownership-and-your-homeowners-policy")</f>
        <v>https://www.examplebusiness.com/resource-center/insurance/gun-ownership-and-your-homeowners-policy</v>
      </c>
      <c r="B135" s="34">
        <v>200</v>
      </c>
      <c r="C135" s="34"/>
      <c r="D135" s="20" t="s">
        <v>2173</v>
      </c>
      <c r="E135" s="34" t="s">
        <v>691</v>
      </c>
      <c r="F135" s="34">
        <v>56</v>
      </c>
      <c r="G135" s="34">
        <v>534</v>
      </c>
      <c r="H135" s="20"/>
      <c r="I135" s="20"/>
      <c r="J135" s="34" t="s">
        <v>694</v>
      </c>
      <c r="K135" s="34">
        <v>0</v>
      </c>
      <c r="L135" s="34">
        <v>0</v>
      </c>
      <c r="M135" s="20"/>
      <c r="N135" s="102" t="s">
        <v>929</v>
      </c>
      <c r="O135" s="20"/>
      <c r="P135" s="20" t="s">
        <v>930</v>
      </c>
      <c r="Q135" s="20" t="s">
        <v>843</v>
      </c>
      <c r="R135" s="20"/>
      <c r="S135" s="34">
        <v>474</v>
      </c>
    </row>
    <row r="136" spans="1:19" ht="16.5" x14ac:dyDescent="0.35">
      <c r="A136" s="104" t="str">
        <f>HYPERLINK("https://www.examplebusiness.com/resource-center/insurance/how-does-whole-life-insurance-work","https://www.examplebusiness.com/resource-center/insurance/how-does-whole-life-insurance-work")</f>
        <v>https://www.examplebusiness.com/resource-center/insurance/how-does-whole-life-insurance-work</v>
      </c>
      <c r="B136" s="34">
        <v>200</v>
      </c>
      <c r="C136" s="34"/>
      <c r="D136" s="20" t="s">
        <v>2174</v>
      </c>
      <c r="E136" s="34" t="s">
        <v>691</v>
      </c>
      <c r="F136" s="34">
        <v>46</v>
      </c>
      <c r="G136" s="34">
        <v>408</v>
      </c>
      <c r="H136" s="20"/>
      <c r="I136" s="20"/>
      <c r="J136" s="34" t="s">
        <v>694</v>
      </c>
      <c r="K136" s="34">
        <v>0</v>
      </c>
      <c r="L136" s="34">
        <v>0</v>
      </c>
      <c r="M136" s="20"/>
      <c r="N136" s="102" t="s">
        <v>931</v>
      </c>
      <c r="O136" s="20"/>
      <c r="P136" s="20" t="s">
        <v>843</v>
      </c>
      <c r="Q136" s="20" t="s">
        <v>845</v>
      </c>
      <c r="R136" s="20"/>
      <c r="S136" s="34">
        <v>605</v>
      </c>
    </row>
    <row r="137" spans="1:19" ht="16.5" x14ac:dyDescent="0.35">
      <c r="A137" s="104" t="str">
        <f>HYPERLINK("https://www.examplebusiness.com/resource-center/insurance/how-insurance-deductibles-work-1","https://www.examplebusiness.com/resource-center/insurance/how-insurance-deductibles-work-1")</f>
        <v>https://www.examplebusiness.com/resource-center/insurance/how-insurance-deductibles-work-1</v>
      </c>
      <c r="B137" s="34">
        <v>200</v>
      </c>
      <c r="C137" s="34"/>
      <c r="D137" s="20" t="s">
        <v>2175</v>
      </c>
      <c r="E137" s="34" t="s">
        <v>691</v>
      </c>
      <c r="F137" s="34">
        <v>46</v>
      </c>
      <c r="G137" s="34">
        <v>424</v>
      </c>
      <c r="H137" s="20"/>
      <c r="I137" s="20"/>
      <c r="J137" s="34" t="s">
        <v>694</v>
      </c>
      <c r="K137" s="34">
        <v>0</v>
      </c>
      <c r="L137" s="34">
        <v>0</v>
      </c>
      <c r="M137" s="20"/>
      <c r="N137" s="102" t="s">
        <v>932</v>
      </c>
      <c r="O137" s="20"/>
      <c r="P137" s="20" t="s">
        <v>933</v>
      </c>
      <c r="Q137" s="20" t="s">
        <v>843</v>
      </c>
      <c r="R137" s="20"/>
      <c r="S137" s="34">
        <v>526</v>
      </c>
    </row>
    <row r="138" spans="1:19" ht="16.5" x14ac:dyDescent="0.35">
      <c r="A138" s="104" t="str">
        <f>HYPERLINK("https://www.examplebusiness.com/resource-center/insurance/insurance-following-a-divorce","https://www.examplebusiness.com/resource-center/insurance/insurance-following-a-divorce")</f>
        <v>https://www.examplebusiness.com/resource-center/insurance/insurance-following-a-divorce</v>
      </c>
      <c r="B138" s="34">
        <v>200</v>
      </c>
      <c r="C138" s="34"/>
      <c r="D138" s="20" t="s">
        <v>2176</v>
      </c>
      <c r="E138" s="34" t="s">
        <v>691</v>
      </c>
      <c r="F138" s="34">
        <v>70</v>
      </c>
      <c r="G138" s="34">
        <v>641</v>
      </c>
      <c r="H138" s="20"/>
      <c r="I138" s="20"/>
      <c r="J138" s="34" t="s">
        <v>694</v>
      </c>
      <c r="K138" s="34">
        <v>0</v>
      </c>
      <c r="L138" s="34">
        <v>0</v>
      </c>
      <c r="M138" s="20"/>
      <c r="N138" s="102" t="s">
        <v>934</v>
      </c>
      <c r="O138" s="20"/>
      <c r="P138" s="20" t="s">
        <v>935</v>
      </c>
      <c r="Q138" s="20" t="s">
        <v>936</v>
      </c>
      <c r="R138" s="20"/>
      <c r="S138" s="34">
        <v>711</v>
      </c>
    </row>
    <row r="139" spans="1:19" ht="16.5" x14ac:dyDescent="0.35">
      <c r="A139" s="104" t="str">
        <f>HYPERLINK("https://www.examplebusiness.com/resource-center/insurance/insurance-needs-assessment-for-empty-nesters-and-retirees","https://www.examplebusiness.com/resource-center/insurance/insurance-needs-assessment-for-empty-nesters-and-retirees")</f>
        <v>https://www.examplebusiness.com/resource-center/insurance/insurance-needs-assessment-for-empty-nesters-and-retirees</v>
      </c>
      <c r="B139" s="34">
        <v>200</v>
      </c>
      <c r="C139" s="34"/>
      <c r="D139" s="20" t="s">
        <v>2177</v>
      </c>
      <c r="E139" s="34" t="s">
        <v>691</v>
      </c>
      <c r="F139" s="34">
        <v>74</v>
      </c>
      <c r="G139" s="34">
        <v>689</v>
      </c>
      <c r="H139" s="20"/>
      <c r="I139" s="20"/>
      <c r="J139" s="34" t="s">
        <v>694</v>
      </c>
      <c r="K139" s="34">
        <v>0</v>
      </c>
      <c r="L139" s="34">
        <v>0</v>
      </c>
      <c r="M139" s="20"/>
      <c r="N139" s="102" t="s">
        <v>937</v>
      </c>
      <c r="O139" s="20"/>
      <c r="P139" s="20" t="s">
        <v>843</v>
      </c>
      <c r="Q139" s="20" t="s">
        <v>845</v>
      </c>
      <c r="R139" s="20"/>
      <c r="S139" s="34">
        <v>833</v>
      </c>
    </row>
    <row r="140" spans="1:19" ht="16.5" x14ac:dyDescent="0.35">
      <c r="A140" s="104" t="str">
        <f>HYPERLINK("https://www.examplebusiness.com/resource-center/insurance/insurance-needs-assessment-when-youre-married-with-children","https://www.examplebusiness.com/resource-center/insurance/insurance-needs-assessment-when-youre-married-with-children")</f>
        <v>https://www.examplebusiness.com/resource-center/insurance/insurance-needs-assessment-when-youre-married-with-children</v>
      </c>
      <c r="B140" s="34">
        <v>200</v>
      </c>
      <c r="C140" s="34"/>
      <c r="D140" s="20" t="s">
        <v>938</v>
      </c>
      <c r="E140" s="34" t="s">
        <v>691</v>
      </c>
      <c r="F140" s="34">
        <v>61</v>
      </c>
      <c r="G140" s="34">
        <v>581</v>
      </c>
      <c r="H140" s="20"/>
      <c r="I140" s="20"/>
      <c r="J140" s="34" t="s">
        <v>694</v>
      </c>
      <c r="K140" s="34">
        <v>0</v>
      </c>
      <c r="L140" s="34">
        <v>0</v>
      </c>
      <c r="M140" s="20"/>
      <c r="N140" s="102" t="s">
        <v>939</v>
      </c>
      <c r="O140" s="20"/>
      <c r="P140" s="20" t="s">
        <v>843</v>
      </c>
      <c r="Q140" s="20" t="s">
        <v>845</v>
      </c>
      <c r="R140" s="20"/>
      <c r="S140" s="34">
        <v>876</v>
      </c>
    </row>
    <row r="141" spans="1:19" ht="16.5" x14ac:dyDescent="0.35">
      <c r="A141" s="104" t="str">
        <f>HYPERLINK("https://www.examplebusiness.com/resource-center/insurance/insurance-needs-assessment-when-youre-newly-married","https://www.examplebusiness.com/resource-center/insurance/insurance-needs-assessment-when-youre-newly-married")</f>
        <v>https://www.examplebusiness.com/resource-center/insurance/insurance-needs-assessment-when-youre-newly-married</v>
      </c>
      <c r="B141" s="34">
        <v>200</v>
      </c>
      <c r="C141" s="34"/>
      <c r="D141" s="20" t="s">
        <v>2178</v>
      </c>
      <c r="E141" s="34" t="s">
        <v>691</v>
      </c>
      <c r="F141" s="34">
        <v>69</v>
      </c>
      <c r="G141" s="34">
        <v>651</v>
      </c>
      <c r="H141" s="20"/>
      <c r="I141" s="20"/>
      <c r="J141" s="34" t="s">
        <v>694</v>
      </c>
      <c r="K141" s="34">
        <v>0</v>
      </c>
      <c r="L141" s="34">
        <v>0</v>
      </c>
      <c r="M141" s="20"/>
      <c r="N141" s="102" t="s">
        <v>940</v>
      </c>
      <c r="O141" s="20"/>
      <c r="P141" s="20" t="s">
        <v>843</v>
      </c>
      <c r="Q141" s="20" t="s">
        <v>845</v>
      </c>
      <c r="R141" s="20"/>
      <c r="S141" s="34">
        <v>809</v>
      </c>
    </row>
    <row r="142" spans="1:19" ht="16.5" x14ac:dyDescent="0.35">
      <c r="A142" s="104" t="str">
        <f>HYPERLINK("https://www.examplebusiness.com/resource-center/insurance/insurance-needs-assessment-when-youre-young-and-single","https://www.examplebusiness.com/resource-center/insurance/insurance-needs-assessment-when-youre-young-and-single")</f>
        <v>https://www.examplebusiness.com/resource-center/insurance/insurance-needs-assessment-when-youre-young-and-single</v>
      </c>
      <c r="B142" s="34">
        <v>200</v>
      </c>
      <c r="C142" s="34"/>
      <c r="D142" s="20" t="s">
        <v>2179</v>
      </c>
      <c r="E142" s="34" t="s">
        <v>691</v>
      </c>
      <c r="F142" s="34">
        <v>72</v>
      </c>
      <c r="G142" s="34">
        <v>677</v>
      </c>
      <c r="H142" s="20"/>
      <c r="I142" s="20"/>
      <c r="J142" s="34" t="s">
        <v>694</v>
      </c>
      <c r="K142" s="34">
        <v>0</v>
      </c>
      <c r="L142" s="34">
        <v>0</v>
      </c>
      <c r="M142" s="20"/>
      <c r="N142" s="102" t="s">
        <v>941</v>
      </c>
      <c r="O142" s="20"/>
      <c r="P142" s="20" t="s">
        <v>843</v>
      </c>
      <c r="Q142" s="20" t="s">
        <v>845</v>
      </c>
      <c r="R142" s="20"/>
      <c r="S142" s="34">
        <v>844</v>
      </c>
    </row>
    <row r="143" spans="1:19" ht="16.5" x14ac:dyDescent="0.35">
      <c r="A143" s="104" t="str">
        <f>HYPERLINK("https://www.examplebusiness.com/resource-center/insurance/insuring-your-business-against-cyber-liability","https://www.examplebusiness.com/resource-center/insurance/insuring-your-business-against-cyber-liability")</f>
        <v>https://www.examplebusiness.com/resource-center/insurance/insuring-your-business-against-cyber-liability</v>
      </c>
      <c r="B143" s="34">
        <v>200</v>
      </c>
      <c r="C143" s="34"/>
      <c r="D143" s="20" t="s">
        <v>2180</v>
      </c>
      <c r="E143" s="34" t="s">
        <v>691</v>
      </c>
      <c r="F143" s="34">
        <v>62</v>
      </c>
      <c r="G143" s="34">
        <v>534</v>
      </c>
      <c r="H143" s="20"/>
      <c r="I143" s="20"/>
      <c r="J143" s="34" t="s">
        <v>694</v>
      </c>
      <c r="K143" s="34">
        <v>0</v>
      </c>
      <c r="L143" s="34">
        <v>0</v>
      </c>
      <c r="M143" s="20"/>
      <c r="N143" s="102" t="s">
        <v>942</v>
      </c>
      <c r="O143" s="20"/>
      <c r="P143" s="20" t="s">
        <v>843</v>
      </c>
      <c r="Q143" s="20" t="s">
        <v>845</v>
      </c>
      <c r="R143" s="20"/>
      <c r="S143" s="34">
        <v>585</v>
      </c>
    </row>
    <row r="144" spans="1:19" ht="16.5" x14ac:dyDescent="0.35">
      <c r="A144" s="104" t="str">
        <f>HYPERLINK("https://www.examplebusiness.com/resource-center/insurance/insuring-your-business-with-a-buy-sell-agreement","https://www.examplebusiness.com/resource-center/insurance/insuring-your-business-with-a-buy-sell-agreement")</f>
        <v>https://www.examplebusiness.com/resource-center/insurance/insuring-your-business-with-a-buy-sell-agreement</v>
      </c>
      <c r="B144" s="34">
        <v>200</v>
      </c>
      <c r="C144" s="34"/>
      <c r="D144" s="20" t="s">
        <v>2181</v>
      </c>
      <c r="E144" s="34" t="s">
        <v>691</v>
      </c>
      <c r="F144" s="34">
        <v>64</v>
      </c>
      <c r="G144" s="34">
        <v>574</v>
      </c>
      <c r="H144" s="20"/>
      <c r="I144" s="20"/>
      <c r="J144" s="34" t="s">
        <v>694</v>
      </c>
      <c r="K144" s="34">
        <v>0</v>
      </c>
      <c r="L144" s="34">
        <v>0</v>
      </c>
      <c r="M144" s="20"/>
      <c r="N144" s="102" t="s">
        <v>943</v>
      </c>
      <c r="O144" s="20"/>
      <c r="P144" s="20" t="s">
        <v>944</v>
      </c>
      <c r="Q144" s="20" t="s">
        <v>945</v>
      </c>
      <c r="R144" s="20"/>
      <c r="S144" s="34">
        <v>699</v>
      </c>
    </row>
    <row r="145" spans="1:19" ht="16.5" x14ac:dyDescent="0.35">
      <c r="A145" s="104" t="str">
        <f>HYPERLINK("https://www.examplebusiness.com/resource-center/insurance/insuring-your-second-home","https://www.examplebusiness.com/resource-center/insurance/insuring-your-second-home")</f>
        <v>https://www.examplebusiness.com/resource-center/insurance/insuring-your-second-home</v>
      </c>
      <c r="B145" s="34">
        <v>200</v>
      </c>
      <c r="C145" s="34"/>
      <c r="D145" s="20" t="s">
        <v>2182</v>
      </c>
      <c r="E145" s="34" t="s">
        <v>691</v>
      </c>
      <c r="F145" s="34">
        <v>41</v>
      </c>
      <c r="G145" s="34">
        <v>378</v>
      </c>
      <c r="H145" s="20"/>
      <c r="I145" s="20"/>
      <c r="J145" s="34" t="s">
        <v>694</v>
      </c>
      <c r="K145" s="34">
        <v>0</v>
      </c>
      <c r="L145" s="34">
        <v>0</v>
      </c>
      <c r="M145" s="20"/>
      <c r="N145" s="102" t="s">
        <v>946</v>
      </c>
      <c r="O145" s="20"/>
      <c r="P145" s="20" t="s">
        <v>947</v>
      </c>
      <c r="Q145" s="20" t="s">
        <v>843</v>
      </c>
      <c r="R145" s="20"/>
      <c r="S145" s="34">
        <v>510</v>
      </c>
    </row>
    <row r="146" spans="1:19" ht="16.5" x14ac:dyDescent="0.35">
      <c r="A146" s="104" t="str">
        <f>HYPERLINK("https://www.examplebusiness.com/resource-center/insurance/inventorying-your-possessions","https://www.examplebusiness.com/resource-center/insurance/inventorying-your-possessions")</f>
        <v>https://www.examplebusiness.com/resource-center/insurance/inventorying-your-possessions</v>
      </c>
      <c r="B146" s="34">
        <v>200</v>
      </c>
      <c r="C146" s="34"/>
      <c r="D146" s="20" t="s">
        <v>2183</v>
      </c>
      <c r="E146" s="34" t="s">
        <v>691</v>
      </c>
      <c r="F146" s="34">
        <v>45</v>
      </c>
      <c r="G146" s="34">
        <v>402</v>
      </c>
      <c r="H146" s="20"/>
      <c r="I146" s="20"/>
      <c r="J146" s="34" t="s">
        <v>694</v>
      </c>
      <c r="K146" s="34">
        <v>0</v>
      </c>
      <c r="L146" s="34">
        <v>0</v>
      </c>
      <c r="M146" s="20"/>
      <c r="N146" s="102" t="s">
        <v>948</v>
      </c>
      <c r="O146" s="20"/>
      <c r="P146" s="20" t="s">
        <v>949</v>
      </c>
      <c r="Q146" s="20" t="s">
        <v>843</v>
      </c>
      <c r="R146" s="20"/>
      <c r="S146" s="34">
        <v>534</v>
      </c>
    </row>
    <row r="147" spans="1:19" ht="16.5" x14ac:dyDescent="0.35">
      <c r="A147" s="104" t="str">
        <f>HYPERLINK("https://www.examplebusiness.com/resource-center/insurance/is-term-life-insurance-for-you","https://www.examplebusiness.com/resource-center/insurance/is-term-life-insurance-for-you")</f>
        <v>https://www.examplebusiness.com/resource-center/insurance/is-term-life-insurance-for-you</v>
      </c>
      <c r="B147" s="34">
        <v>200</v>
      </c>
      <c r="C147" s="34"/>
      <c r="D147" s="20" t="s">
        <v>2184</v>
      </c>
      <c r="E147" s="34" t="s">
        <v>691</v>
      </c>
      <c r="F147" s="34">
        <v>47</v>
      </c>
      <c r="G147" s="34">
        <v>412</v>
      </c>
      <c r="H147" s="20"/>
      <c r="I147" s="20"/>
      <c r="J147" s="34" t="s">
        <v>694</v>
      </c>
      <c r="K147" s="34">
        <v>0</v>
      </c>
      <c r="L147" s="34">
        <v>0</v>
      </c>
      <c r="M147" s="20"/>
      <c r="N147" s="102" t="s">
        <v>950</v>
      </c>
      <c r="O147" s="20"/>
      <c r="P147" s="20" t="s">
        <v>843</v>
      </c>
      <c r="Q147" s="20" t="s">
        <v>845</v>
      </c>
      <c r="R147" s="20"/>
      <c r="S147" s="34">
        <v>527</v>
      </c>
    </row>
    <row r="148" spans="1:19" ht="16.5" x14ac:dyDescent="0.35">
      <c r="A148" s="104" t="str">
        <f>HYPERLINK("https://www.examplebusiness.com/resource-center/insurance/keep-your-umbrella-handy","https://www.examplebusiness.com/resource-center/insurance/keep-your-umbrella-handy")</f>
        <v>https://www.examplebusiness.com/resource-center/insurance/keep-your-umbrella-handy</v>
      </c>
      <c r="B148" s="34">
        <v>200</v>
      </c>
      <c r="C148" s="34"/>
      <c r="D148" s="20" t="s">
        <v>2185</v>
      </c>
      <c r="E148" s="34" t="s">
        <v>691</v>
      </c>
      <c r="F148" s="34">
        <v>40</v>
      </c>
      <c r="G148" s="34">
        <v>371</v>
      </c>
      <c r="H148" s="20"/>
      <c r="I148" s="20"/>
      <c r="J148" s="34" t="s">
        <v>694</v>
      </c>
      <c r="K148" s="34">
        <v>0</v>
      </c>
      <c r="L148" s="34">
        <v>0</v>
      </c>
      <c r="M148" s="20"/>
      <c r="N148" s="102" t="s">
        <v>951</v>
      </c>
      <c r="O148" s="20"/>
      <c r="P148" s="20" t="s">
        <v>952</v>
      </c>
      <c r="Q148" s="20" t="s">
        <v>843</v>
      </c>
      <c r="R148" s="20"/>
      <c r="S148" s="34">
        <v>706</v>
      </c>
    </row>
    <row r="149" spans="1:19" ht="16.5" x14ac:dyDescent="0.35">
      <c r="A149" s="104" t="str">
        <f>HYPERLINK("https://www.examplebusiness.com/resource-center/insurance/keeping-summer-safe-pool-and-spa-safety-tips-1","https://www.examplebusiness.com/resource-center/insurance/keeping-summer-safe-pool-and-spa-safety-tips-1")</f>
        <v>https://www.examplebusiness.com/resource-center/insurance/keeping-summer-safe-pool-and-spa-safety-tips-1</v>
      </c>
      <c r="B149" s="34">
        <v>200</v>
      </c>
      <c r="C149" s="34"/>
      <c r="D149" s="20" t="s">
        <v>2186</v>
      </c>
      <c r="E149" s="34" t="s">
        <v>691</v>
      </c>
      <c r="F149" s="34">
        <v>61</v>
      </c>
      <c r="G149" s="34">
        <v>566</v>
      </c>
      <c r="H149" s="20"/>
      <c r="I149" s="20"/>
      <c r="J149" s="34" t="s">
        <v>694</v>
      </c>
      <c r="K149" s="34">
        <v>0</v>
      </c>
      <c r="L149" s="34">
        <v>0</v>
      </c>
      <c r="M149" s="20"/>
      <c r="N149" s="102" t="s">
        <v>953</v>
      </c>
      <c r="O149" s="20"/>
      <c r="P149" s="20" t="s">
        <v>954</v>
      </c>
      <c r="Q149" s="20" t="s">
        <v>843</v>
      </c>
      <c r="R149" s="20"/>
      <c r="S149" s="34">
        <v>544</v>
      </c>
    </row>
    <row r="150" spans="1:19" ht="16.5" x14ac:dyDescent="0.35">
      <c r="A150" s="104" t="str">
        <f>HYPERLINK("https://www.examplebusiness.com/resource-center/insurance/lifetime-of-earnings","https://www.examplebusiness.com/resource-center/insurance/lifetime-of-earnings")</f>
        <v>https://www.examplebusiness.com/resource-center/insurance/lifetime-of-earnings</v>
      </c>
      <c r="B150" s="34">
        <v>200</v>
      </c>
      <c r="C150" s="34"/>
      <c r="D150" s="20" t="s">
        <v>2187</v>
      </c>
      <c r="E150" s="34" t="s">
        <v>691</v>
      </c>
      <c r="F150" s="34">
        <v>36</v>
      </c>
      <c r="G150" s="34">
        <v>307</v>
      </c>
      <c r="H150" s="20"/>
      <c r="I150" s="20"/>
      <c r="J150" s="34" t="s">
        <v>694</v>
      </c>
      <c r="K150" s="34">
        <v>0</v>
      </c>
      <c r="L150" s="34">
        <v>0</v>
      </c>
      <c r="M150" s="20"/>
      <c r="N150" s="102" t="s">
        <v>955</v>
      </c>
      <c r="O150" s="20"/>
      <c r="P150" s="20" t="s">
        <v>843</v>
      </c>
      <c r="Q150" s="20" t="s">
        <v>845</v>
      </c>
      <c r="R150" s="20"/>
      <c r="S150" s="34">
        <v>137</v>
      </c>
    </row>
    <row r="151" spans="1:19" ht="16.5" x14ac:dyDescent="0.35">
      <c r="A151" s="104" t="str">
        <f>HYPERLINK("https://www.examplebusiness.com/resource-center/insurance/long-term-care-needs","https://www.examplebusiness.com/resource-center/insurance/long-term-care-needs")</f>
        <v>https://www.examplebusiness.com/resource-center/insurance/long-term-care-needs</v>
      </c>
      <c r="B151" s="34">
        <v>200</v>
      </c>
      <c r="C151" s="34"/>
      <c r="D151" s="20" t="s">
        <v>2188</v>
      </c>
      <c r="E151" s="34" t="s">
        <v>691</v>
      </c>
      <c r="F151" s="34">
        <v>36</v>
      </c>
      <c r="G151" s="34">
        <v>341</v>
      </c>
      <c r="H151" s="20"/>
      <c r="I151" s="20"/>
      <c r="J151" s="34" t="s">
        <v>694</v>
      </c>
      <c r="K151" s="34">
        <v>0</v>
      </c>
      <c r="L151" s="34">
        <v>0</v>
      </c>
      <c r="M151" s="20"/>
      <c r="N151" s="102" t="s">
        <v>956</v>
      </c>
      <c r="O151" s="20"/>
      <c r="P151" s="20" t="s">
        <v>843</v>
      </c>
      <c r="Q151" s="20" t="s">
        <v>845</v>
      </c>
      <c r="R151" s="20"/>
      <c r="S151" s="34">
        <v>123</v>
      </c>
    </row>
    <row r="152" spans="1:19" ht="16.5" x14ac:dyDescent="0.35">
      <c r="A152" s="104" t="str">
        <f>HYPERLINK("https://www.examplebusiness.com/resource-center/insurance/making-sense-of-a-home-warranty","https://www.examplebusiness.com/resource-center/insurance/making-sense-of-a-home-warranty")</f>
        <v>https://www.examplebusiness.com/resource-center/insurance/making-sense-of-a-home-warranty</v>
      </c>
      <c r="B152" s="34">
        <v>200</v>
      </c>
      <c r="C152" s="34"/>
      <c r="D152" s="20" t="s">
        <v>2189</v>
      </c>
      <c r="E152" s="34" t="s">
        <v>691</v>
      </c>
      <c r="F152" s="34">
        <v>47</v>
      </c>
      <c r="G152" s="34">
        <v>448</v>
      </c>
      <c r="H152" s="20"/>
      <c r="I152" s="20"/>
      <c r="J152" s="34" t="s">
        <v>694</v>
      </c>
      <c r="K152" s="34">
        <v>0</v>
      </c>
      <c r="L152" s="34">
        <v>0</v>
      </c>
      <c r="M152" s="20"/>
      <c r="N152" s="102" t="s">
        <v>957</v>
      </c>
      <c r="O152" s="20"/>
      <c r="P152" s="20" t="s">
        <v>958</v>
      </c>
      <c r="Q152" s="20" t="s">
        <v>959</v>
      </c>
      <c r="R152" s="20"/>
      <c r="S152" s="34">
        <v>566</v>
      </c>
    </row>
    <row r="153" spans="1:19" ht="16.5" x14ac:dyDescent="0.35">
      <c r="A153" s="104" t="str">
        <f>HYPERLINK("https://www.examplebusiness.com/resource-center/insurance/medicare-advantage-101","https://www.examplebusiness.com/resource-center/insurance/medicare-advantage-101")</f>
        <v>https://www.examplebusiness.com/resource-center/insurance/medicare-advantage-101</v>
      </c>
      <c r="B153" s="34">
        <v>200</v>
      </c>
      <c r="C153" s="34"/>
      <c r="D153" s="20" t="s">
        <v>2190</v>
      </c>
      <c r="E153" s="34" t="s">
        <v>691</v>
      </c>
      <c r="F153" s="34">
        <v>38</v>
      </c>
      <c r="G153" s="34">
        <v>353</v>
      </c>
      <c r="H153" s="20"/>
      <c r="I153" s="20"/>
      <c r="J153" s="34" t="s">
        <v>694</v>
      </c>
      <c r="K153" s="34">
        <v>0</v>
      </c>
      <c r="L153" s="34">
        <v>0</v>
      </c>
      <c r="M153" s="20"/>
      <c r="N153" s="102" t="s">
        <v>960</v>
      </c>
      <c r="O153" s="20"/>
      <c r="P153" s="20" t="s">
        <v>961</v>
      </c>
      <c r="Q153" s="20" t="s">
        <v>962</v>
      </c>
      <c r="R153" s="20"/>
      <c r="S153" s="34">
        <v>535</v>
      </c>
    </row>
    <row r="154" spans="1:19" ht="16.5" x14ac:dyDescent="0.35">
      <c r="A154" s="104" t="str">
        <f>HYPERLINK("https://www.examplebusiness.com/resource-center/insurance/medicare-advantage-plans-medicare-part-c","https://www.examplebusiness.com/resource-center/insurance/medicare-advantage-plans-medicare-part-c")</f>
        <v>https://www.examplebusiness.com/resource-center/insurance/medicare-advantage-plans-medicare-part-c</v>
      </c>
      <c r="B154" s="34">
        <v>200</v>
      </c>
      <c r="C154" s="34"/>
      <c r="D154" s="20" t="s">
        <v>2191</v>
      </c>
      <c r="E154" s="34" t="s">
        <v>691</v>
      </c>
      <c r="F154" s="34">
        <v>58</v>
      </c>
      <c r="G154" s="34">
        <v>533</v>
      </c>
      <c r="H154" s="20"/>
      <c r="I154" s="20"/>
      <c r="J154" s="34" t="s">
        <v>694</v>
      </c>
      <c r="K154" s="34">
        <v>0</v>
      </c>
      <c r="L154" s="34">
        <v>0</v>
      </c>
      <c r="M154" s="20"/>
      <c r="N154" s="102" t="s">
        <v>963</v>
      </c>
      <c r="O154" s="20"/>
      <c r="P154" s="20" t="s">
        <v>843</v>
      </c>
      <c r="Q154" s="20" t="s">
        <v>845</v>
      </c>
      <c r="R154" s="20"/>
      <c r="S154" s="34">
        <v>435</v>
      </c>
    </row>
    <row r="155" spans="1:19" ht="16.5" x14ac:dyDescent="0.35">
      <c r="A155" s="104" t="str">
        <f>HYPERLINK("https://www.examplebusiness.com/resource-center/insurance/medicare-at-65","https://www.examplebusiness.com/resource-center/insurance/medicare-at-65")</f>
        <v>https://www.examplebusiness.com/resource-center/insurance/medicare-at-65</v>
      </c>
      <c r="B155" s="34">
        <v>200</v>
      </c>
      <c r="C155" s="34"/>
      <c r="D155" s="20" t="s">
        <v>2192</v>
      </c>
      <c r="E155" s="34" t="s">
        <v>691</v>
      </c>
      <c r="F155" s="34">
        <v>31</v>
      </c>
      <c r="G155" s="34">
        <v>280</v>
      </c>
      <c r="H155" s="20"/>
      <c r="I155" s="20"/>
      <c r="J155" s="34" t="s">
        <v>694</v>
      </c>
      <c r="K155" s="34">
        <v>0</v>
      </c>
      <c r="L155" s="34">
        <v>0</v>
      </c>
      <c r="M155" s="20"/>
      <c r="N155" s="102" t="s">
        <v>964</v>
      </c>
      <c r="O155" s="20"/>
      <c r="P155" s="20" t="s">
        <v>843</v>
      </c>
      <c r="Q155" s="20" t="s">
        <v>845</v>
      </c>
      <c r="R155" s="20"/>
      <c r="S155" s="34">
        <v>395</v>
      </c>
    </row>
    <row r="156" spans="1:19" ht="16.5" x14ac:dyDescent="0.35">
      <c r="A156" s="104" t="str">
        <f>HYPERLINK("https://www.examplebusiness.com/resource-center/insurance/medicare-vs-medicaid","https://www.examplebusiness.com/resource-center/insurance/medicare-vs-medicaid")</f>
        <v>https://www.examplebusiness.com/resource-center/insurance/medicare-vs-medicaid</v>
      </c>
      <c r="B156" s="34">
        <v>200</v>
      </c>
      <c r="C156" s="34"/>
      <c r="D156" s="20" t="s">
        <v>2193</v>
      </c>
      <c r="E156" s="34" t="s">
        <v>691</v>
      </c>
      <c r="F156" s="34">
        <v>37</v>
      </c>
      <c r="G156" s="34">
        <v>331</v>
      </c>
      <c r="H156" s="20"/>
      <c r="I156" s="20"/>
      <c r="J156" s="34" t="s">
        <v>694</v>
      </c>
      <c r="K156" s="34">
        <v>0</v>
      </c>
      <c r="L156" s="34">
        <v>0</v>
      </c>
      <c r="M156" s="20"/>
      <c r="N156" s="102" t="s">
        <v>965</v>
      </c>
      <c r="O156" s="20"/>
      <c r="P156" s="20" t="s">
        <v>843</v>
      </c>
      <c r="Q156" s="20" t="s">
        <v>845</v>
      </c>
      <c r="R156" s="20"/>
      <c r="S156" s="34">
        <v>369</v>
      </c>
    </row>
    <row r="157" spans="1:19" ht="16.5" x14ac:dyDescent="0.35">
      <c r="A157" s="104" t="str">
        <f>HYPERLINK("https://www.examplebusiness.com/resource-center/insurance/planning-for-the-expected","https://www.examplebusiness.com/resource-center/insurance/planning-for-the-expected")</f>
        <v>https://www.examplebusiness.com/resource-center/insurance/planning-for-the-expected</v>
      </c>
      <c r="B157" s="34">
        <v>200</v>
      </c>
      <c r="C157" s="34"/>
      <c r="D157" s="20" t="s">
        <v>2194</v>
      </c>
      <c r="E157" s="34" t="s">
        <v>691</v>
      </c>
      <c r="F157" s="34">
        <v>41</v>
      </c>
      <c r="G157" s="34">
        <v>357</v>
      </c>
      <c r="H157" s="20"/>
      <c r="I157" s="20"/>
      <c r="J157" s="34" t="s">
        <v>694</v>
      </c>
      <c r="K157" s="34">
        <v>0</v>
      </c>
      <c r="L157" s="34">
        <v>0</v>
      </c>
      <c r="M157" s="20"/>
      <c r="N157" s="102" t="s">
        <v>966</v>
      </c>
      <c r="O157" s="20"/>
      <c r="P157" s="20" t="s">
        <v>967</v>
      </c>
      <c r="Q157" s="20" t="s">
        <v>968</v>
      </c>
      <c r="R157" s="20"/>
      <c r="S157" s="34">
        <v>761</v>
      </c>
    </row>
    <row r="158" spans="1:19" ht="16.5" x14ac:dyDescent="0.35">
      <c r="A158" s="104" t="str">
        <f>HYPERLINK("https://www.examplebusiness.com/resource-center/insurance/prescription-drug-benefits-under-medicare-part-d","https://www.examplebusiness.com/resource-center/insurance/prescription-drug-benefits-under-medicare-part-d")</f>
        <v>https://www.examplebusiness.com/resource-center/insurance/prescription-drug-benefits-under-medicare-part-d</v>
      </c>
      <c r="B158" s="34">
        <v>200</v>
      </c>
      <c r="C158" s="34"/>
      <c r="D158" s="20" t="s">
        <v>2195</v>
      </c>
      <c r="E158" s="34" t="s">
        <v>691</v>
      </c>
      <c r="F158" s="34">
        <v>66</v>
      </c>
      <c r="G158" s="34">
        <v>585</v>
      </c>
      <c r="H158" s="20"/>
      <c r="I158" s="20"/>
      <c r="J158" s="34" t="s">
        <v>694</v>
      </c>
      <c r="K158" s="34">
        <v>0</v>
      </c>
      <c r="L158" s="34">
        <v>0</v>
      </c>
      <c r="M158" s="20"/>
      <c r="N158" s="102" t="s">
        <v>969</v>
      </c>
      <c r="O158" s="20"/>
      <c r="P158" s="20" t="s">
        <v>843</v>
      </c>
      <c r="Q158" s="20" t="s">
        <v>845</v>
      </c>
      <c r="R158" s="20"/>
      <c r="S158" s="34">
        <v>401</v>
      </c>
    </row>
    <row r="159" spans="1:19" ht="16.5" x14ac:dyDescent="0.35">
      <c r="A159" s="104" t="str">
        <f>HYPERLINK("https://www.examplebusiness.com/resource-center/insurance/protecting-those-who-matter-most","https://www.examplebusiness.com/resource-center/insurance/protecting-those-who-matter-most")</f>
        <v>https://www.examplebusiness.com/resource-center/insurance/protecting-those-who-matter-most</v>
      </c>
      <c r="B159" s="34">
        <v>200</v>
      </c>
      <c r="C159" s="34"/>
      <c r="D159" s="20" t="s">
        <v>2196</v>
      </c>
      <c r="E159" s="34" t="s">
        <v>691</v>
      </c>
      <c r="F159" s="34">
        <v>48</v>
      </c>
      <c r="G159" s="34">
        <v>442</v>
      </c>
      <c r="H159" s="20"/>
      <c r="I159" s="20"/>
      <c r="J159" s="34" t="s">
        <v>694</v>
      </c>
      <c r="K159" s="34">
        <v>0</v>
      </c>
      <c r="L159" s="34">
        <v>0</v>
      </c>
      <c r="M159" s="20"/>
      <c r="N159" s="102" t="s">
        <v>899</v>
      </c>
      <c r="O159" s="20"/>
      <c r="P159" s="20" t="s">
        <v>866</v>
      </c>
      <c r="Q159" s="20" t="s">
        <v>843</v>
      </c>
      <c r="R159" s="20"/>
      <c r="S159" s="34">
        <v>120</v>
      </c>
    </row>
    <row r="160" spans="1:19" ht="16.5" x14ac:dyDescent="0.35">
      <c r="A160" s="104" t="str">
        <f>HYPERLINK("https://www.examplebusiness.com/resource-center/insurance/protecting-those-who-matter-most?responsive=false","https://www.examplebusiness.com/resource-center/insurance/protecting-those-who-matter-most?responsive=false")</f>
        <v>https://www.examplebusiness.com/resource-center/insurance/protecting-those-who-matter-most?responsive=false</v>
      </c>
      <c r="B160" s="34">
        <v>200</v>
      </c>
      <c r="C160" s="34"/>
      <c r="D160" s="20" t="s">
        <v>2196</v>
      </c>
      <c r="E160" s="34" t="s">
        <v>691</v>
      </c>
      <c r="F160" s="34">
        <v>48</v>
      </c>
      <c r="G160" s="34">
        <v>442</v>
      </c>
      <c r="H160" s="20"/>
      <c r="I160" s="20"/>
      <c r="J160" s="34" t="s">
        <v>694</v>
      </c>
      <c r="K160" s="34">
        <v>0</v>
      </c>
      <c r="L160" s="34">
        <v>0</v>
      </c>
      <c r="M160" s="20"/>
      <c r="N160" s="102" t="s">
        <v>899</v>
      </c>
      <c r="O160" s="20"/>
      <c r="P160" s="20" t="s">
        <v>866</v>
      </c>
      <c r="Q160" s="20" t="s">
        <v>843</v>
      </c>
      <c r="R160" s="20"/>
      <c r="S160" s="34">
        <v>120</v>
      </c>
    </row>
    <row r="161" spans="1:19" ht="16.5" x14ac:dyDescent="0.35">
      <c r="A161" s="104" t="str">
        <f>HYPERLINK("https://www.examplebusiness.com/resource-center/insurance/protecting-your-business-from-the-loss-of-a-key-person","https://www.examplebusiness.com/resource-center/insurance/protecting-your-business-from-the-loss-of-a-key-person")</f>
        <v>https://www.examplebusiness.com/resource-center/insurance/protecting-your-business-from-the-loss-of-a-key-person</v>
      </c>
      <c r="B161" s="34">
        <v>200</v>
      </c>
      <c r="C161" s="34"/>
      <c r="D161" s="20" t="s">
        <v>2197</v>
      </c>
      <c r="E161" s="34" t="s">
        <v>691</v>
      </c>
      <c r="F161" s="34">
        <v>70</v>
      </c>
      <c r="G161" s="34">
        <v>629</v>
      </c>
      <c r="H161" s="20"/>
      <c r="I161" s="20"/>
      <c r="J161" s="34" t="s">
        <v>694</v>
      </c>
      <c r="K161" s="34">
        <v>0</v>
      </c>
      <c r="L161" s="34">
        <v>0</v>
      </c>
      <c r="M161" s="20"/>
      <c r="N161" s="102" t="s">
        <v>970</v>
      </c>
      <c r="O161" s="20"/>
      <c r="P161" s="20" t="s">
        <v>971</v>
      </c>
      <c r="Q161" s="20" t="s">
        <v>972</v>
      </c>
      <c r="R161" s="20"/>
      <c r="S161" s="34">
        <v>671</v>
      </c>
    </row>
    <row r="162" spans="1:19" ht="16.5" x14ac:dyDescent="0.35">
      <c r="A162" s="104" t="str">
        <f>HYPERLINK("https://www.examplebusiness.com/resource-center/insurance/protecting-your-home-against-flood-loss","https://www.examplebusiness.com/resource-center/insurance/protecting-your-home-against-flood-loss")</f>
        <v>https://www.examplebusiness.com/resource-center/insurance/protecting-your-home-against-flood-loss</v>
      </c>
      <c r="B162" s="34">
        <v>200</v>
      </c>
      <c r="C162" s="34"/>
      <c r="D162" s="20" t="s">
        <v>2198</v>
      </c>
      <c r="E162" s="34" t="s">
        <v>691</v>
      </c>
      <c r="F162" s="34">
        <v>55</v>
      </c>
      <c r="G162" s="34">
        <v>501</v>
      </c>
      <c r="H162" s="20"/>
      <c r="I162" s="20"/>
      <c r="J162" s="34" t="s">
        <v>694</v>
      </c>
      <c r="K162" s="34">
        <v>0</v>
      </c>
      <c r="L162" s="34">
        <v>0</v>
      </c>
      <c r="M162" s="20"/>
      <c r="N162" s="102" t="s">
        <v>973</v>
      </c>
      <c r="O162" s="20"/>
      <c r="P162" s="20" t="s">
        <v>974</v>
      </c>
      <c r="Q162" s="20" t="s">
        <v>975</v>
      </c>
      <c r="R162" s="20"/>
      <c r="S162" s="34">
        <v>493</v>
      </c>
    </row>
    <row r="163" spans="1:19" ht="16.5" x14ac:dyDescent="0.35">
      <c r="A163" s="104" t="str">
        <f>HYPERLINK("https://www.examplebusiness.com/resource-center/insurance/qualifying-for-medicare-under-age-65","https://www.examplebusiness.com/resource-center/insurance/qualifying-for-medicare-under-age-65")</f>
        <v>https://www.examplebusiness.com/resource-center/insurance/qualifying-for-medicare-under-age-65</v>
      </c>
      <c r="B163" s="34">
        <v>200</v>
      </c>
      <c r="C163" s="34"/>
      <c r="D163" s="20" t="s">
        <v>2199</v>
      </c>
      <c r="E163" s="34" t="s">
        <v>691</v>
      </c>
      <c r="F163" s="34">
        <v>52</v>
      </c>
      <c r="G163" s="34">
        <v>470</v>
      </c>
      <c r="H163" s="20"/>
      <c r="I163" s="20"/>
      <c r="J163" s="34" t="s">
        <v>694</v>
      </c>
      <c r="K163" s="34">
        <v>0</v>
      </c>
      <c r="L163" s="34">
        <v>0</v>
      </c>
      <c r="M163" s="20"/>
      <c r="N163" s="102" t="s">
        <v>976</v>
      </c>
      <c r="O163" s="20"/>
      <c r="P163" s="20" t="s">
        <v>977</v>
      </c>
      <c r="Q163" s="20" t="s">
        <v>978</v>
      </c>
      <c r="R163" s="20"/>
      <c r="S163" s="34">
        <v>640</v>
      </c>
    </row>
    <row r="164" spans="1:19" ht="16.5" x14ac:dyDescent="0.35">
      <c r="A164" s="104" t="str">
        <f>HYPERLINK("https://www.examplebusiness.com/resource-center/insurance/questions-to-ask-about-medicare","https://www.examplebusiness.com/resource-center/insurance/questions-to-ask-about-medicare")</f>
        <v>https://www.examplebusiness.com/resource-center/insurance/questions-to-ask-about-medicare</v>
      </c>
      <c r="B164" s="34">
        <v>200</v>
      </c>
      <c r="C164" s="34"/>
      <c r="D164" s="20" t="s">
        <v>2200</v>
      </c>
      <c r="E164" s="34" t="s">
        <v>691</v>
      </c>
      <c r="F164" s="34">
        <v>47</v>
      </c>
      <c r="G164" s="34">
        <v>428</v>
      </c>
      <c r="H164" s="20"/>
      <c r="I164" s="20"/>
      <c r="J164" s="34" t="s">
        <v>694</v>
      </c>
      <c r="K164" s="34">
        <v>0</v>
      </c>
      <c r="L164" s="34">
        <v>0</v>
      </c>
      <c r="M164" s="20"/>
      <c r="N164" s="102" t="s">
        <v>979</v>
      </c>
      <c r="O164" s="20"/>
      <c r="P164" s="20" t="s">
        <v>843</v>
      </c>
      <c r="Q164" s="20" t="s">
        <v>845</v>
      </c>
      <c r="R164" s="20"/>
      <c r="S164" s="34">
        <v>686</v>
      </c>
    </row>
    <row r="165" spans="1:19" ht="16.5" x14ac:dyDescent="0.35">
      <c r="A165" s="104" t="str">
        <f>HYPERLINK("https://www.examplebusiness.com/resource-center/insurance/replacing-your-medicare-card","https://www.examplebusiness.com/resource-center/insurance/replacing-your-medicare-card")</f>
        <v>https://www.examplebusiness.com/resource-center/insurance/replacing-your-medicare-card</v>
      </c>
      <c r="B165" s="34">
        <v>200</v>
      </c>
      <c r="C165" s="34"/>
      <c r="D165" s="20" t="s">
        <v>2201</v>
      </c>
      <c r="E165" s="34" t="s">
        <v>691</v>
      </c>
      <c r="F165" s="34">
        <v>44</v>
      </c>
      <c r="G165" s="34">
        <v>404</v>
      </c>
      <c r="H165" s="20"/>
      <c r="I165" s="20"/>
      <c r="J165" s="34" t="s">
        <v>694</v>
      </c>
      <c r="K165" s="34">
        <v>0</v>
      </c>
      <c r="L165" s="34">
        <v>0</v>
      </c>
      <c r="M165" s="20"/>
      <c r="N165" s="102" t="s">
        <v>980</v>
      </c>
      <c r="O165" s="20"/>
      <c r="P165" s="20" t="s">
        <v>843</v>
      </c>
      <c r="Q165" s="20" t="s">
        <v>845</v>
      </c>
      <c r="R165" s="20"/>
      <c r="S165" s="34">
        <v>446</v>
      </c>
    </row>
    <row r="166" spans="1:19" ht="16.5" x14ac:dyDescent="0.35">
      <c r="A166" s="104" t="str">
        <f>HYPERLINK("https://www.examplebusiness.com/resource-center/insurance/retiree-health-care-coverage-overseas","https://www.examplebusiness.com/resource-center/insurance/retiree-health-care-coverage-overseas")</f>
        <v>https://www.examplebusiness.com/resource-center/insurance/retiree-health-care-coverage-overseas</v>
      </c>
      <c r="B166" s="34">
        <v>200</v>
      </c>
      <c r="C166" s="34"/>
      <c r="D166" s="20" t="s">
        <v>2202</v>
      </c>
      <c r="E166" s="34" t="s">
        <v>691</v>
      </c>
      <c r="F166" s="34">
        <v>53</v>
      </c>
      <c r="G166" s="34">
        <v>489</v>
      </c>
      <c r="H166" s="20"/>
      <c r="I166" s="20"/>
      <c r="J166" s="34" t="s">
        <v>694</v>
      </c>
      <c r="K166" s="34">
        <v>0</v>
      </c>
      <c r="L166" s="34">
        <v>0</v>
      </c>
      <c r="M166" s="20"/>
      <c r="N166" s="102" t="s">
        <v>981</v>
      </c>
      <c r="O166" s="20"/>
      <c r="P166" s="20" t="s">
        <v>982</v>
      </c>
      <c r="Q166" s="20" t="s">
        <v>983</v>
      </c>
      <c r="R166" s="20"/>
      <c r="S166" s="34">
        <v>468</v>
      </c>
    </row>
    <row r="167" spans="1:19" ht="16.5" x14ac:dyDescent="0.35">
      <c r="A167" s="104" t="str">
        <f>HYPERLINK("https://www.examplebusiness.com/resource-center/insurance/silver-sneakers-101","https://www.examplebusiness.com/resource-center/insurance/silver-sneakers-101")</f>
        <v>https://www.examplebusiness.com/resource-center/insurance/silver-sneakers-101</v>
      </c>
      <c r="B167" s="34">
        <v>200</v>
      </c>
      <c r="C167" s="34"/>
      <c r="D167" s="20" t="s">
        <v>2203</v>
      </c>
      <c r="E167" s="34" t="s">
        <v>691</v>
      </c>
      <c r="F167" s="34">
        <v>35</v>
      </c>
      <c r="G167" s="34">
        <v>309</v>
      </c>
      <c r="H167" s="20"/>
      <c r="I167" s="20"/>
      <c r="J167" s="34" t="s">
        <v>694</v>
      </c>
      <c r="K167" s="34">
        <v>0</v>
      </c>
      <c r="L167" s="34">
        <v>0</v>
      </c>
      <c r="M167" s="20"/>
      <c r="N167" s="102" t="s">
        <v>984</v>
      </c>
      <c r="O167" s="20"/>
      <c r="P167" s="20" t="s">
        <v>843</v>
      </c>
      <c r="Q167" s="20" t="s">
        <v>845</v>
      </c>
      <c r="R167" s="20"/>
      <c r="S167" s="34">
        <v>480</v>
      </c>
    </row>
    <row r="168" spans="1:19" ht="16.5" x14ac:dyDescent="0.35">
      <c r="A168" s="104" t="str">
        <f>HYPERLINK("https://www.examplebusiness.com/resource-center/insurance/social-media-newest-business-liability-risk","https://www.examplebusiness.com/resource-center/insurance/social-media-newest-business-liability-risk")</f>
        <v>https://www.examplebusiness.com/resource-center/insurance/social-media-newest-business-liability-risk</v>
      </c>
      <c r="B168" s="34">
        <v>200</v>
      </c>
      <c r="C168" s="34"/>
      <c r="D168" s="20" t="s">
        <v>985</v>
      </c>
      <c r="E168" s="34" t="s">
        <v>691</v>
      </c>
      <c r="F168" s="34">
        <v>45</v>
      </c>
      <c r="G168" s="34">
        <v>401</v>
      </c>
      <c r="H168" s="20"/>
      <c r="I168" s="20"/>
      <c r="J168" s="34" t="s">
        <v>694</v>
      </c>
      <c r="K168" s="34">
        <v>0</v>
      </c>
      <c r="L168" s="34">
        <v>0</v>
      </c>
      <c r="M168" s="20"/>
      <c r="N168" s="102" t="s">
        <v>986</v>
      </c>
      <c r="O168" s="20"/>
      <c r="P168" s="20" t="s">
        <v>987</v>
      </c>
      <c r="Q168" s="20" t="s">
        <v>843</v>
      </c>
      <c r="R168" s="20"/>
      <c r="S168" s="34">
        <v>469</v>
      </c>
    </row>
    <row r="169" spans="1:19" ht="16.5" x14ac:dyDescent="0.35">
      <c r="A169" s="104" t="str">
        <f>HYPERLINK("https://www.examplebusiness.com/resource-center/insurance/stay-safe-with-a-bop-at-your-back","https://www.examplebusiness.com/resource-center/insurance/stay-safe-with-a-bop-at-your-back")</f>
        <v>https://www.examplebusiness.com/resource-center/insurance/stay-safe-with-a-bop-at-your-back</v>
      </c>
      <c r="B169" s="34">
        <v>200</v>
      </c>
      <c r="C169" s="34"/>
      <c r="D169" s="20" t="s">
        <v>2204</v>
      </c>
      <c r="E169" s="34" t="s">
        <v>691</v>
      </c>
      <c r="F169" s="34">
        <v>52</v>
      </c>
      <c r="G169" s="34">
        <v>467</v>
      </c>
      <c r="H169" s="20"/>
      <c r="I169" s="20"/>
      <c r="J169" s="34" t="s">
        <v>694</v>
      </c>
      <c r="K169" s="34">
        <v>0</v>
      </c>
      <c r="L169" s="34">
        <v>0</v>
      </c>
      <c r="M169" s="20"/>
      <c r="N169" s="102" t="s">
        <v>988</v>
      </c>
      <c r="O169" s="20"/>
      <c r="P169" s="20" t="s">
        <v>843</v>
      </c>
      <c r="Q169" s="20" t="s">
        <v>845</v>
      </c>
      <c r="R169" s="20"/>
      <c r="S169" s="34">
        <v>115</v>
      </c>
    </row>
    <row r="170" spans="1:19" ht="16.5" x14ac:dyDescent="0.35">
      <c r="A170" s="104" t="str">
        <f>HYPERLINK("https://www.examplebusiness.com/resource-center/insurance/term-vs-permanent-life-insurance","https://www.examplebusiness.com/resource-center/insurance/term-vs-permanent-life-insurance")</f>
        <v>https://www.examplebusiness.com/resource-center/insurance/term-vs-permanent-life-insurance</v>
      </c>
      <c r="B170" s="34">
        <v>200</v>
      </c>
      <c r="C170" s="34"/>
      <c r="D170" s="20" t="s">
        <v>2205</v>
      </c>
      <c r="E170" s="34" t="s">
        <v>691</v>
      </c>
      <c r="F170" s="34">
        <v>49</v>
      </c>
      <c r="G170" s="34">
        <v>440</v>
      </c>
      <c r="H170" s="20"/>
      <c r="I170" s="20"/>
      <c r="J170" s="34" t="s">
        <v>694</v>
      </c>
      <c r="K170" s="34">
        <v>0</v>
      </c>
      <c r="L170" s="34">
        <v>0</v>
      </c>
      <c r="M170" s="20"/>
      <c r="N170" s="102" t="s">
        <v>989</v>
      </c>
      <c r="O170" s="20"/>
      <c r="P170" s="20" t="s">
        <v>990</v>
      </c>
      <c r="Q170" s="20" t="s">
        <v>991</v>
      </c>
      <c r="R170" s="20"/>
      <c r="S170" s="34">
        <v>715</v>
      </c>
    </row>
    <row r="171" spans="1:19" ht="16.5" x14ac:dyDescent="0.35">
      <c r="A171" s="104" t="str">
        <f>HYPERLINK("https://www.examplebusiness.com/resource-center/insurance/test-your-life-insurance-knowledge","https://www.examplebusiness.com/resource-center/insurance/test-your-life-insurance-knowledge")</f>
        <v>https://www.examplebusiness.com/resource-center/insurance/test-your-life-insurance-knowledge</v>
      </c>
      <c r="B171" s="34">
        <v>200</v>
      </c>
      <c r="C171" s="34"/>
      <c r="D171" s="20" t="s">
        <v>2206</v>
      </c>
      <c r="E171" s="34" t="s">
        <v>691</v>
      </c>
      <c r="F171" s="34">
        <v>50</v>
      </c>
      <c r="G171" s="34">
        <v>452</v>
      </c>
      <c r="H171" s="20"/>
      <c r="I171" s="20"/>
      <c r="J171" s="34" t="s">
        <v>694</v>
      </c>
      <c r="K171" s="34">
        <v>0</v>
      </c>
      <c r="L171" s="34">
        <v>0</v>
      </c>
      <c r="M171" s="20"/>
      <c r="N171" s="102" t="s">
        <v>992</v>
      </c>
      <c r="O171" s="20"/>
      <c r="P171" s="20" t="s">
        <v>843</v>
      </c>
      <c r="Q171" s="20" t="s">
        <v>845</v>
      </c>
      <c r="R171" s="20"/>
      <c r="S171" s="34">
        <v>102</v>
      </c>
    </row>
    <row r="172" spans="1:19" ht="16.5" x14ac:dyDescent="0.35">
      <c r="A172" s="104" t="str">
        <f>HYPERLINK("https://www.examplebusiness.com/resource-center/insurance/the-a-b-c-d-of-medicare","https://www.examplebusiness.com/resource-center/insurance/the-a-b-c-d-of-medicare")</f>
        <v>https://www.examplebusiness.com/resource-center/insurance/the-a-b-c-d-of-medicare</v>
      </c>
      <c r="B172" s="34">
        <v>200</v>
      </c>
      <c r="C172" s="34"/>
      <c r="D172" s="20" t="s">
        <v>2207</v>
      </c>
      <c r="E172" s="34" t="s">
        <v>691</v>
      </c>
      <c r="F172" s="34">
        <v>44</v>
      </c>
      <c r="G172" s="34">
        <v>392</v>
      </c>
      <c r="H172" s="20"/>
      <c r="I172" s="20"/>
      <c r="J172" s="34" t="s">
        <v>694</v>
      </c>
      <c r="K172" s="34">
        <v>0</v>
      </c>
      <c r="L172" s="34">
        <v>0</v>
      </c>
      <c r="M172" s="20"/>
      <c r="N172" s="102" t="s">
        <v>993</v>
      </c>
      <c r="O172" s="20"/>
      <c r="P172" s="20" t="s">
        <v>994</v>
      </c>
      <c r="Q172" s="20" t="s">
        <v>843</v>
      </c>
      <c r="R172" s="20"/>
      <c r="S172" s="34">
        <v>694</v>
      </c>
    </row>
    <row r="173" spans="1:19" ht="16.5" x14ac:dyDescent="0.35">
      <c r="A173" s="104" t="str">
        <f>HYPERLINK("https://www.examplebusiness.com/resource-center/insurance/the-abcs-of-auto-insurance","https://www.examplebusiness.com/resource-center/insurance/the-abcs-of-auto-insurance")</f>
        <v>https://www.examplebusiness.com/resource-center/insurance/the-abcs-of-auto-insurance</v>
      </c>
      <c r="B173" s="34">
        <v>200</v>
      </c>
      <c r="C173" s="34"/>
      <c r="D173" s="20" t="s">
        <v>2208</v>
      </c>
      <c r="E173" s="34" t="s">
        <v>691</v>
      </c>
      <c r="F173" s="34">
        <v>43</v>
      </c>
      <c r="G173" s="34">
        <v>386</v>
      </c>
      <c r="H173" s="20"/>
      <c r="I173" s="20"/>
      <c r="J173" s="34" t="s">
        <v>694</v>
      </c>
      <c r="K173" s="34">
        <v>0</v>
      </c>
      <c r="L173" s="34">
        <v>0</v>
      </c>
      <c r="M173" s="20"/>
      <c r="N173" s="102" t="s">
        <v>995</v>
      </c>
      <c r="O173" s="20"/>
      <c r="P173" s="20" t="s">
        <v>996</v>
      </c>
      <c r="Q173" s="20" t="s">
        <v>843</v>
      </c>
      <c r="R173" s="20"/>
      <c r="S173" s="34">
        <v>512</v>
      </c>
    </row>
    <row r="174" spans="1:19" ht="16.5" x14ac:dyDescent="0.35">
      <c r="A174" s="104" t="str">
        <f>HYPERLINK("https://www.examplebusiness.com/resource-center/insurance/the-basics-of-medicare","https://www.examplebusiness.com/resource-center/insurance/the-basics-of-medicare")</f>
        <v>https://www.examplebusiness.com/resource-center/insurance/the-basics-of-medicare</v>
      </c>
      <c r="B174" s="34">
        <v>200</v>
      </c>
      <c r="C174" s="34"/>
      <c r="D174" s="20" t="s">
        <v>2209</v>
      </c>
      <c r="E174" s="34" t="s">
        <v>691</v>
      </c>
      <c r="F174" s="34">
        <v>38</v>
      </c>
      <c r="G174" s="34">
        <v>341</v>
      </c>
      <c r="H174" s="20"/>
      <c r="I174" s="20"/>
      <c r="J174" s="34" t="s">
        <v>694</v>
      </c>
      <c r="K174" s="34">
        <v>0</v>
      </c>
      <c r="L174" s="34">
        <v>0</v>
      </c>
      <c r="M174" s="20"/>
      <c r="N174" s="102" t="s">
        <v>997</v>
      </c>
      <c r="O174" s="20"/>
      <c r="P174" s="20" t="s">
        <v>843</v>
      </c>
      <c r="Q174" s="20" t="s">
        <v>845</v>
      </c>
      <c r="R174" s="20"/>
      <c r="S174" s="34">
        <v>825</v>
      </c>
    </row>
    <row r="175" spans="1:19" ht="16.5" x14ac:dyDescent="0.35">
      <c r="A175" s="104" t="str">
        <f>HYPERLINK("https://www.examplebusiness.com/resource-center/insurance/the-cost-of-medical-care","https://www.examplebusiness.com/resource-center/insurance/the-cost-of-medical-care")</f>
        <v>https://www.examplebusiness.com/resource-center/insurance/the-cost-of-medical-care</v>
      </c>
      <c r="B175" s="34">
        <v>200</v>
      </c>
      <c r="C175" s="34"/>
      <c r="D175" s="20" t="s">
        <v>2210</v>
      </c>
      <c r="E175" s="34" t="s">
        <v>691</v>
      </c>
      <c r="F175" s="34">
        <v>40</v>
      </c>
      <c r="G175" s="34">
        <v>359</v>
      </c>
      <c r="H175" s="20"/>
      <c r="I175" s="20"/>
      <c r="J175" s="34" t="s">
        <v>694</v>
      </c>
      <c r="K175" s="34">
        <v>0</v>
      </c>
      <c r="L175" s="34">
        <v>0</v>
      </c>
      <c r="M175" s="20"/>
      <c r="N175" s="102" t="s">
        <v>998</v>
      </c>
      <c r="O175" s="20"/>
      <c r="P175" s="20" t="s">
        <v>843</v>
      </c>
      <c r="Q175" s="20" t="s">
        <v>845</v>
      </c>
      <c r="R175" s="20"/>
      <c r="S175" s="34">
        <v>727</v>
      </c>
    </row>
    <row r="176" spans="1:19" ht="16.5" x14ac:dyDescent="0.35">
      <c r="A176" s="104" t="str">
        <f>HYPERLINK("https://www.examplebusiness.com/resource-center/insurance/the-most-overlooked-item-in-any-home-improvement","https://www.examplebusiness.com/resource-center/insurance/the-most-overlooked-item-in-any-home-improvement")</f>
        <v>https://www.examplebusiness.com/resource-center/insurance/the-most-overlooked-item-in-any-home-improvement</v>
      </c>
      <c r="B176" s="34">
        <v>200</v>
      </c>
      <c r="C176" s="34"/>
      <c r="D176" s="20" t="s">
        <v>2211</v>
      </c>
      <c r="E176" s="34" t="s">
        <v>691</v>
      </c>
      <c r="F176" s="34">
        <v>64</v>
      </c>
      <c r="G176" s="34">
        <v>607</v>
      </c>
      <c r="H176" s="20"/>
      <c r="I176" s="20"/>
      <c r="J176" s="34" t="s">
        <v>694</v>
      </c>
      <c r="K176" s="34">
        <v>0</v>
      </c>
      <c r="L176" s="34">
        <v>0</v>
      </c>
      <c r="M176" s="20"/>
      <c r="N176" s="102" t="s">
        <v>999</v>
      </c>
      <c r="O176" s="20"/>
      <c r="P176" s="20" t="s">
        <v>1000</v>
      </c>
      <c r="Q176" s="20" t="s">
        <v>843</v>
      </c>
      <c r="R176" s="20"/>
      <c r="S176" s="34">
        <v>469</v>
      </c>
    </row>
    <row r="177" spans="1:19" ht="16.5" x14ac:dyDescent="0.35">
      <c r="A177" s="104" t="str">
        <f>HYPERLINK("https://www.examplebusiness.com/resource-center/insurance/the-other-sure-thing","https://www.examplebusiness.com/resource-center/insurance/the-other-sure-thing")</f>
        <v>https://www.examplebusiness.com/resource-center/insurance/the-other-sure-thing</v>
      </c>
      <c r="B177" s="34">
        <v>200</v>
      </c>
      <c r="C177" s="34"/>
      <c r="D177" s="20" t="s">
        <v>2212</v>
      </c>
      <c r="E177" s="34" t="s">
        <v>691</v>
      </c>
      <c r="F177" s="34">
        <v>36</v>
      </c>
      <c r="G177" s="34">
        <v>322</v>
      </c>
      <c r="H177" s="20"/>
      <c r="I177" s="20"/>
      <c r="J177" s="34" t="s">
        <v>694</v>
      </c>
      <c r="K177" s="34">
        <v>0</v>
      </c>
      <c r="L177" s="34">
        <v>0</v>
      </c>
      <c r="M177" s="20"/>
      <c r="N177" s="102" t="s">
        <v>898</v>
      </c>
      <c r="O177" s="20"/>
      <c r="P177" s="20" t="s">
        <v>843</v>
      </c>
      <c r="Q177" s="20" t="s">
        <v>845</v>
      </c>
      <c r="R177" s="20"/>
      <c r="S177" s="34">
        <v>118</v>
      </c>
    </row>
    <row r="178" spans="1:19" ht="16.5" x14ac:dyDescent="0.35">
      <c r="A178" s="104" t="str">
        <f>HYPERLINK("https://www.examplebusiness.com/resource-center/insurance/the-value-of-insuring-against-lifes-risks","https://www.examplebusiness.com/resource-center/insurance/the-value-of-insuring-against-lifes-risks")</f>
        <v>https://www.examplebusiness.com/resource-center/insurance/the-value-of-insuring-against-lifes-risks</v>
      </c>
      <c r="B178" s="34">
        <v>200</v>
      </c>
      <c r="C178" s="34"/>
      <c r="D178" s="20" t="s">
        <v>2213</v>
      </c>
      <c r="E178" s="34" t="s">
        <v>691</v>
      </c>
      <c r="F178" s="34">
        <v>58</v>
      </c>
      <c r="G178" s="34">
        <v>495</v>
      </c>
      <c r="H178" s="20"/>
      <c r="I178" s="20"/>
      <c r="J178" s="34" t="s">
        <v>694</v>
      </c>
      <c r="K178" s="34">
        <v>0</v>
      </c>
      <c r="L178" s="34">
        <v>0</v>
      </c>
      <c r="M178" s="20"/>
      <c r="N178" s="102" t="s">
        <v>1001</v>
      </c>
      <c r="O178" s="20"/>
      <c r="P178" s="20" t="s">
        <v>843</v>
      </c>
      <c r="Q178" s="20" t="s">
        <v>845</v>
      </c>
      <c r="R178" s="20"/>
      <c r="S178" s="34">
        <v>678</v>
      </c>
    </row>
    <row r="179" spans="1:19" ht="16.5" x14ac:dyDescent="0.35">
      <c r="A179" s="104" t="str">
        <f>HYPERLINK("https://www.examplebusiness.com/resource-center/insurance/understanding-homeowners-insurance","https://www.examplebusiness.com/resource-center/insurance/understanding-homeowners-insurance")</f>
        <v>https://www.examplebusiness.com/resource-center/insurance/understanding-homeowners-insurance</v>
      </c>
      <c r="B179" s="34">
        <v>200</v>
      </c>
      <c r="C179" s="34"/>
      <c r="D179" s="20" t="s">
        <v>2214</v>
      </c>
      <c r="E179" s="34" t="s">
        <v>691</v>
      </c>
      <c r="F179" s="34">
        <v>51</v>
      </c>
      <c r="G179" s="34">
        <v>474</v>
      </c>
      <c r="H179" s="20"/>
      <c r="I179" s="20"/>
      <c r="J179" s="34" t="s">
        <v>694</v>
      </c>
      <c r="K179" s="34">
        <v>0</v>
      </c>
      <c r="L179" s="34">
        <v>0</v>
      </c>
      <c r="M179" s="20"/>
      <c r="N179" s="102" t="s">
        <v>1002</v>
      </c>
      <c r="O179" s="20"/>
      <c r="P179" s="20" t="s">
        <v>1003</v>
      </c>
      <c r="Q179" s="20" t="s">
        <v>1004</v>
      </c>
      <c r="R179" s="20"/>
      <c r="S179" s="34">
        <v>571</v>
      </c>
    </row>
    <row r="180" spans="1:19" ht="16.5" x14ac:dyDescent="0.35">
      <c r="A180" s="104" t="str">
        <f>HYPERLINK("https://www.examplebusiness.com/resource-center/insurance/understanding-long-term-care","https://www.examplebusiness.com/resource-center/insurance/understanding-long-term-care")</f>
        <v>https://www.examplebusiness.com/resource-center/insurance/understanding-long-term-care</v>
      </c>
      <c r="B180" s="34">
        <v>200</v>
      </c>
      <c r="C180" s="34"/>
      <c r="D180" s="20" t="s">
        <v>2215</v>
      </c>
      <c r="E180" s="34" t="s">
        <v>691</v>
      </c>
      <c r="F180" s="34">
        <v>44</v>
      </c>
      <c r="G180" s="34">
        <v>409</v>
      </c>
      <c r="H180" s="20"/>
      <c r="I180" s="20"/>
      <c r="J180" s="34" t="s">
        <v>694</v>
      </c>
      <c r="K180" s="34">
        <v>0</v>
      </c>
      <c r="L180" s="34">
        <v>0</v>
      </c>
      <c r="M180" s="20"/>
      <c r="N180" s="102" t="s">
        <v>1005</v>
      </c>
      <c r="O180" s="20"/>
      <c r="P180" s="20" t="s">
        <v>1006</v>
      </c>
      <c r="Q180" s="20" t="s">
        <v>1007</v>
      </c>
      <c r="R180" s="20"/>
      <c r="S180" s="34">
        <v>658</v>
      </c>
    </row>
    <row r="181" spans="1:19" ht="16.5" x14ac:dyDescent="0.35">
      <c r="A181" s="104" t="str">
        <f>HYPERLINK("https://www.examplebusiness.com/resource-center/insurance/understanding-the-basics-of-medigap-policies","https://www.examplebusiness.com/resource-center/insurance/understanding-the-basics-of-medigap-policies")</f>
        <v>https://www.examplebusiness.com/resource-center/insurance/understanding-the-basics-of-medigap-policies</v>
      </c>
      <c r="B181" s="34">
        <v>200</v>
      </c>
      <c r="C181" s="34"/>
      <c r="D181" s="20" t="s">
        <v>2216</v>
      </c>
      <c r="E181" s="34" t="s">
        <v>691</v>
      </c>
      <c r="F181" s="34">
        <v>60</v>
      </c>
      <c r="G181" s="34">
        <v>533</v>
      </c>
      <c r="H181" s="20"/>
      <c r="I181" s="20"/>
      <c r="J181" s="34" t="s">
        <v>694</v>
      </c>
      <c r="K181" s="34">
        <v>0</v>
      </c>
      <c r="L181" s="34">
        <v>0</v>
      </c>
      <c r="M181" s="20"/>
      <c r="N181" s="102" t="s">
        <v>1008</v>
      </c>
      <c r="O181" s="20"/>
      <c r="P181" s="20" t="s">
        <v>1009</v>
      </c>
      <c r="Q181" s="20" t="s">
        <v>1010</v>
      </c>
      <c r="R181" s="20"/>
      <c r="S181" s="34">
        <v>591</v>
      </c>
    </row>
    <row r="182" spans="1:19" ht="16.5" x14ac:dyDescent="0.35">
      <c r="A182" s="104" t="str">
        <f>HYPERLINK("https://www.examplebusiness.com/resource-center/insurance/universal-life-insurance","https://www.examplebusiness.com/resource-center/insurance/universal-life-insurance")</f>
        <v>https://www.examplebusiness.com/resource-center/insurance/universal-life-insurance</v>
      </c>
      <c r="B182" s="34">
        <v>200</v>
      </c>
      <c r="C182" s="34"/>
      <c r="D182" s="20" t="s">
        <v>2217</v>
      </c>
      <c r="E182" s="34" t="s">
        <v>691</v>
      </c>
      <c r="F182" s="34">
        <v>40</v>
      </c>
      <c r="G182" s="34">
        <v>341</v>
      </c>
      <c r="H182" s="20"/>
      <c r="I182" s="20"/>
      <c r="J182" s="34" t="s">
        <v>694</v>
      </c>
      <c r="K182" s="34">
        <v>0</v>
      </c>
      <c r="L182" s="34">
        <v>0</v>
      </c>
      <c r="M182" s="20"/>
      <c r="N182" s="102" t="s">
        <v>1011</v>
      </c>
      <c r="O182" s="20"/>
      <c r="P182" s="20" t="s">
        <v>843</v>
      </c>
      <c r="Q182" s="20" t="s">
        <v>845</v>
      </c>
      <c r="R182" s="20"/>
      <c r="S182" s="34">
        <v>715</v>
      </c>
    </row>
    <row r="183" spans="1:19" ht="16.5" x14ac:dyDescent="0.35">
      <c r="A183" s="104" t="str">
        <f>HYPERLINK("https://www.examplebusiness.com/resource-center/insurance/variable-universal-life-insurance","https://www.examplebusiness.com/resource-center/insurance/variable-universal-life-insurance")</f>
        <v>https://www.examplebusiness.com/resource-center/insurance/variable-universal-life-insurance</v>
      </c>
      <c r="B183" s="34">
        <v>200</v>
      </c>
      <c r="C183" s="34"/>
      <c r="D183" s="20" t="s">
        <v>2218</v>
      </c>
      <c r="E183" s="34" t="s">
        <v>691</v>
      </c>
      <c r="F183" s="34">
        <v>49</v>
      </c>
      <c r="G183" s="34">
        <v>419</v>
      </c>
      <c r="H183" s="20"/>
      <c r="I183" s="20"/>
      <c r="J183" s="34" t="s">
        <v>694</v>
      </c>
      <c r="K183" s="34">
        <v>0</v>
      </c>
      <c r="L183" s="34">
        <v>0</v>
      </c>
      <c r="M183" s="20"/>
      <c r="N183" s="102" t="s">
        <v>1012</v>
      </c>
      <c r="O183" s="20"/>
      <c r="P183" s="20" t="s">
        <v>843</v>
      </c>
      <c r="Q183" s="20" t="s">
        <v>845</v>
      </c>
      <c r="R183" s="20"/>
      <c r="S183" s="34">
        <v>871</v>
      </c>
    </row>
    <row r="184" spans="1:19" ht="16.5" x14ac:dyDescent="0.35">
      <c r="A184" s="104" t="str">
        <f>HYPERLINK("https://www.examplebusiness.com/resource-center/insurance/ways-to-supplement-your-medicare-coverage","https://www.examplebusiness.com/resource-center/insurance/ways-to-supplement-your-medicare-coverage")</f>
        <v>https://www.examplebusiness.com/resource-center/insurance/ways-to-supplement-your-medicare-coverage</v>
      </c>
      <c r="B184" s="34">
        <v>200</v>
      </c>
      <c r="C184" s="34"/>
      <c r="D184" s="20" t="s">
        <v>2219</v>
      </c>
      <c r="E184" s="34" t="s">
        <v>691</v>
      </c>
      <c r="F184" s="34">
        <v>57</v>
      </c>
      <c r="G184" s="34">
        <v>542</v>
      </c>
      <c r="H184" s="20"/>
      <c r="I184" s="20"/>
      <c r="J184" s="34" t="s">
        <v>694</v>
      </c>
      <c r="K184" s="34">
        <v>0</v>
      </c>
      <c r="L184" s="34">
        <v>0</v>
      </c>
      <c r="M184" s="20"/>
      <c r="N184" s="102" t="s">
        <v>1013</v>
      </c>
      <c r="O184" s="20"/>
      <c r="P184" s="20" t="s">
        <v>843</v>
      </c>
      <c r="Q184" s="20" t="s">
        <v>845</v>
      </c>
      <c r="R184" s="20"/>
      <c r="S184" s="34">
        <v>787</v>
      </c>
    </row>
    <row r="185" spans="1:19" ht="16.5" x14ac:dyDescent="0.35">
      <c r="A185" s="104" t="str">
        <f>HYPERLINK("https://www.examplebusiness.com/resource-center/insurance/what-to-look-for-in-a-long-term-care-policy","https://www.examplebusiness.com/resource-center/insurance/what-to-look-for-in-a-long-term-care-policy")</f>
        <v>https://www.examplebusiness.com/resource-center/insurance/what-to-look-for-in-a-long-term-care-policy</v>
      </c>
      <c r="B185" s="34">
        <v>200</v>
      </c>
      <c r="C185" s="34"/>
      <c r="D185" s="20" t="s">
        <v>2220</v>
      </c>
      <c r="E185" s="34" t="s">
        <v>691</v>
      </c>
      <c r="F185" s="34">
        <v>59</v>
      </c>
      <c r="G185" s="34">
        <v>527</v>
      </c>
      <c r="H185" s="20"/>
      <c r="I185" s="20"/>
      <c r="J185" s="34" t="s">
        <v>694</v>
      </c>
      <c r="K185" s="34">
        <v>0</v>
      </c>
      <c r="L185" s="34">
        <v>0</v>
      </c>
      <c r="M185" s="20"/>
      <c r="N185" s="102" t="s">
        <v>1014</v>
      </c>
      <c r="O185" s="20"/>
      <c r="P185" s="20" t="s">
        <v>1015</v>
      </c>
      <c r="Q185" s="20" t="s">
        <v>843</v>
      </c>
      <c r="R185" s="20"/>
      <c r="S185" s="34">
        <v>816</v>
      </c>
    </row>
    <row r="186" spans="1:19" ht="16.5" x14ac:dyDescent="0.35">
      <c r="A186" s="104" t="str">
        <f>HYPERLINK("https://www.examplebusiness.com/resource-center/insurance/when-does-your-personal-car-become-a-commercial-vehicle","https://www.examplebusiness.com/resource-center/insurance/when-does-your-personal-car-become-a-commercial-vehicle")</f>
        <v>https://www.examplebusiness.com/resource-center/insurance/when-does-your-personal-car-become-a-commercial-vehicle</v>
      </c>
      <c r="B186" s="34">
        <v>200</v>
      </c>
      <c r="C186" s="34"/>
      <c r="D186" s="20" t="s">
        <v>2221</v>
      </c>
      <c r="E186" s="34" t="s">
        <v>691</v>
      </c>
      <c r="F186" s="34">
        <v>72</v>
      </c>
      <c r="G186" s="34">
        <v>689</v>
      </c>
      <c r="H186" s="20"/>
      <c r="I186" s="20"/>
      <c r="J186" s="34" t="s">
        <v>694</v>
      </c>
      <c r="K186" s="34">
        <v>0</v>
      </c>
      <c r="L186" s="34">
        <v>0</v>
      </c>
      <c r="M186" s="20"/>
      <c r="N186" s="102" t="s">
        <v>1016</v>
      </c>
      <c r="O186" s="20"/>
      <c r="P186" s="20" t="s">
        <v>1017</v>
      </c>
      <c r="Q186" s="20" t="s">
        <v>843</v>
      </c>
      <c r="R186" s="20"/>
      <c r="S186" s="34">
        <v>606</v>
      </c>
    </row>
    <row r="187" spans="1:19" ht="16.5" x14ac:dyDescent="0.35">
      <c r="A187" s="104" t="str">
        <f>HYPERLINK("https://www.examplebusiness.com/resource-center/insurance/when-life-insurance-becomes-taxable","https://www.examplebusiness.com/resource-center/insurance/when-life-insurance-becomes-taxable")</f>
        <v>https://www.examplebusiness.com/resource-center/insurance/when-life-insurance-becomes-taxable</v>
      </c>
      <c r="B187" s="34">
        <v>200</v>
      </c>
      <c r="C187" s="34"/>
      <c r="D187" s="20" t="s">
        <v>2222</v>
      </c>
      <c r="E187" s="34" t="s">
        <v>691</v>
      </c>
      <c r="F187" s="34">
        <v>51</v>
      </c>
      <c r="G187" s="34">
        <v>475</v>
      </c>
      <c r="H187" s="20"/>
      <c r="I187" s="20"/>
      <c r="J187" s="34" t="s">
        <v>694</v>
      </c>
      <c r="K187" s="34">
        <v>0</v>
      </c>
      <c r="L187" s="34">
        <v>0</v>
      </c>
      <c r="M187" s="20"/>
      <c r="N187" s="102" t="s">
        <v>1018</v>
      </c>
      <c r="O187" s="20"/>
      <c r="P187" s="20" t="s">
        <v>1019</v>
      </c>
      <c r="Q187" s="20" t="s">
        <v>1020</v>
      </c>
      <c r="R187" s="20"/>
      <c r="S187" s="34">
        <v>618</v>
      </c>
    </row>
    <row r="188" spans="1:19" ht="16.5" x14ac:dyDescent="0.35">
      <c r="A188" s="104" t="str">
        <f>HYPERLINK("https://www.examplebusiness.com/resource-center/insurance/when-to-self-insure","https://www.examplebusiness.com/resource-center/insurance/when-to-self-insure")</f>
        <v>https://www.examplebusiness.com/resource-center/insurance/when-to-self-insure</v>
      </c>
      <c r="B188" s="34">
        <v>200</v>
      </c>
      <c r="C188" s="34"/>
      <c r="D188" s="20" t="s">
        <v>2223</v>
      </c>
      <c r="E188" s="34" t="s">
        <v>691</v>
      </c>
      <c r="F188" s="34">
        <v>35</v>
      </c>
      <c r="G188" s="34">
        <v>307</v>
      </c>
      <c r="H188" s="20"/>
      <c r="I188" s="20"/>
      <c r="J188" s="34" t="s">
        <v>694</v>
      </c>
      <c r="K188" s="34">
        <v>0</v>
      </c>
      <c r="L188" s="34">
        <v>0</v>
      </c>
      <c r="M188" s="20"/>
      <c r="N188" s="102" t="s">
        <v>1021</v>
      </c>
      <c r="O188" s="20"/>
      <c r="P188" s="20" t="s">
        <v>843</v>
      </c>
      <c r="Q188" s="20" t="s">
        <v>845</v>
      </c>
      <c r="R188" s="20"/>
      <c r="S188" s="34">
        <v>734</v>
      </c>
    </row>
    <row r="189" spans="1:19" ht="16.5" x14ac:dyDescent="0.35">
      <c r="A189" s="104" t="str">
        <f>HYPERLINK("https://www.examplebusiness.com/resource-center/insurance/your-dna-test","https://www.examplebusiness.com/resource-center/insurance/your-dna-test")</f>
        <v>https://www.examplebusiness.com/resource-center/insurance/your-dna-test</v>
      </c>
      <c r="B189" s="34">
        <v>200</v>
      </c>
      <c r="C189" s="34"/>
      <c r="D189" s="20" t="s">
        <v>2224</v>
      </c>
      <c r="E189" s="34" t="s">
        <v>691</v>
      </c>
      <c r="F189" s="34">
        <v>29</v>
      </c>
      <c r="G189" s="34">
        <v>266</v>
      </c>
      <c r="H189" s="20"/>
      <c r="I189" s="20"/>
      <c r="J189" s="34" t="s">
        <v>694</v>
      </c>
      <c r="K189" s="34">
        <v>0</v>
      </c>
      <c r="L189" s="34">
        <v>0</v>
      </c>
      <c r="M189" s="20"/>
      <c r="N189" s="102" t="s">
        <v>1022</v>
      </c>
      <c r="O189" s="20"/>
      <c r="P189" s="20" t="s">
        <v>843</v>
      </c>
      <c r="Q189" s="20" t="s">
        <v>845</v>
      </c>
      <c r="R189" s="20"/>
      <c r="S189" s="34">
        <v>117</v>
      </c>
    </row>
    <row r="190" spans="1:19" ht="16.5" x14ac:dyDescent="0.35">
      <c r="A190" s="104" t="str">
        <f>HYPERLINK("https://www.examplebusiness.com/resource-center/investment","https://www.examplebusiness.com/resource-center/investment")</f>
        <v>https://www.examplebusiness.com/resource-center/investment</v>
      </c>
      <c r="B190" s="34">
        <v>200</v>
      </c>
      <c r="C190" s="34"/>
      <c r="D190" s="20" t="s">
        <v>2225</v>
      </c>
      <c r="E190" s="34" t="s">
        <v>691</v>
      </c>
      <c r="F190" s="34">
        <v>26</v>
      </c>
      <c r="G190" s="34">
        <v>228</v>
      </c>
      <c r="H190" s="20"/>
      <c r="I190" s="20"/>
      <c r="J190" s="34" t="s">
        <v>694</v>
      </c>
      <c r="K190" s="34">
        <v>0</v>
      </c>
      <c r="L190" s="34">
        <v>0</v>
      </c>
      <c r="M190" s="20"/>
      <c r="N190" s="102" t="s">
        <v>1023</v>
      </c>
      <c r="O190" s="20"/>
      <c r="P190" s="20" t="s">
        <v>1024</v>
      </c>
      <c r="Q190" s="20" t="s">
        <v>1025</v>
      </c>
      <c r="R190" s="20"/>
      <c r="S190" s="34">
        <v>967</v>
      </c>
    </row>
    <row r="191" spans="1:19" ht="16.5" x14ac:dyDescent="0.35">
      <c r="A191" s="104" t="str">
        <f>HYPERLINK("https://www.examplebusiness.com/resource-center/investment/16-wall-street-cliches-in-60-seconds","https://www.examplebusiness.com/resource-center/investment/16-wall-street-cliches-in-60-seconds")</f>
        <v>https://www.examplebusiness.com/resource-center/investment/16-wall-street-cliches-in-60-seconds</v>
      </c>
      <c r="B191" s="34">
        <v>200</v>
      </c>
      <c r="C191" s="34"/>
      <c r="D191" s="20" t="s">
        <v>2226</v>
      </c>
      <c r="E191" s="34" t="s">
        <v>691</v>
      </c>
      <c r="F191" s="34">
        <v>52</v>
      </c>
      <c r="G191" s="34">
        <v>458</v>
      </c>
      <c r="H191" s="20"/>
      <c r="I191" s="20"/>
      <c r="J191" s="34" t="s">
        <v>694</v>
      </c>
      <c r="K191" s="34">
        <v>0</v>
      </c>
      <c r="L191" s="34">
        <v>0</v>
      </c>
      <c r="M191" s="20"/>
      <c r="N191" s="102" t="s">
        <v>1026</v>
      </c>
      <c r="O191" s="20"/>
      <c r="P191" s="20" t="s">
        <v>843</v>
      </c>
      <c r="Q191" s="20" t="s">
        <v>845</v>
      </c>
      <c r="R191" s="20"/>
      <c r="S191" s="34">
        <v>110</v>
      </c>
    </row>
    <row r="192" spans="1:19" ht="16.5" x14ac:dyDescent="0.35">
      <c r="A192" s="104" t="str">
        <f>HYPERLINK("https://www.examplebusiness.com/resource-center/investment/5-smart-investing-principles","https://www.examplebusiness.com/resource-center/investment/5-smart-investing-principles")</f>
        <v>https://www.examplebusiness.com/resource-center/investment/5-smart-investing-principles</v>
      </c>
      <c r="B192" s="34">
        <v>200</v>
      </c>
      <c r="C192" s="34"/>
      <c r="D192" s="20" t="s">
        <v>1027</v>
      </c>
      <c r="E192" s="34" t="s">
        <v>691</v>
      </c>
      <c r="F192" s="34">
        <v>21</v>
      </c>
      <c r="G192" s="34">
        <v>185</v>
      </c>
      <c r="H192" s="20"/>
      <c r="I192" s="20"/>
      <c r="J192" s="34" t="s">
        <v>694</v>
      </c>
      <c r="K192" s="34">
        <v>0</v>
      </c>
      <c r="L192" s="34">
        <v>0</v>
      </c>
      <c r="M192" s="20"/>
      <c r="N192" s="102" t="s">
        <v>1028</v>
      </c>
      <c r="O192" s="20"/>
      <c r="P192" s="20" t="s">
        <v>866</v>
      </c>
      <c r="Q192" s="20" t="s">
        <v>843</v>
      </c>
      <c r="R192" s="20"/>
      <c r="S192" s="34">
        <v>135</v>
      </c>
    </row>
    <row r="193" spans="1:19" ht="16.5" x14ac:dyDescent="0.35">
      <c r="A193" s="104" t="str">
        <f>HYPERLINK("https://www.examplebusiness.com/resource-center/investment/5-smart-investing-principles?responsive=false","https://www.examplebusiness.com/resource-center/investment/5-smart-investing-principles?responsive=false")</f>
        <v>https://www.examplebusiness.com/resource-center/investment/5-smart-investing-principles?responsive=false</v>
      </c>
      <c r="B193" s="34">
        <v>200</v>
      </c>
      <c r="C193" s="34"/>
      <c r="D193" s="20" t="s">
        <v>1027</v>
      </c>
      <c r="E193" s="34" t="s">
        <v>691</v>
      </c>
      <c r="F193" s="34">
        <v>21</v>
      </c>
      <c r="G193" s="34">
        <v>185</v>
      </c>
      <c r="H193" s="20"/>
      <c r="I193" s="20"/>
      <c r="J193" s="34" t="s">
        <v>694</v>
      </c>
      <c r="K193" s="34">
        <v>0</v>
      </c>
      <c r="L193" s="34">
        <v>0</v>
      </c>
      <c r="M193" s="20"/>
      <c r="N193" s="102" t="s">
        <v>1028</v>
      </c>
      <c r="O193" s="20"/>
      <c r="P193" s="20" t="s">
        <v>866</v>
      </c>
      <c r="Q193" s="20" t="s">
        <v>843</v>
      </c>
      <c r="R193" s="20"/>
      <c r="S193" s="34">
        <v>135</v>
      </c>
    </row>
    <row r="194" spans="1:19" ht="16.5" x14ac:dyDescent="0.35">
      <c r="A194" s="104" t="str">
        <f>HYPERLINK("https://www.examplebusiness.com/resource-center/investment/5-smart-investing-strategies","https://www.examplebusiness.com/resource-center/investment/5-smart-investing-strategies")</f>
        <v>https://www.examplebusiness.com/resource-center/investment/5-smart-investing-strategies</v>
      </c>
      <c r="B194" s="34">
        <v>200</v>
      </c>
      <c r="C194" s="34"/>
      <c r="D194" s="20" t="s">
        <v>2227</v>
      </c>
      <c r="E194" s="34" t="s">
        <v>691</v>
      </c>
      <c r="F194" s="34">
        <v>44</v>
      </c>
      <c r="G194" s="34">
        <v>382</v>
      </c>
      <c r="H194" s="20"/>
      <c r="I194" s="20"/>
      <c r="J194" s="34" t="s">
        <v>694</v>
      </c>
      <c r="K194" s="34">
        <v>0</v>
      </c>
      <c r="L194" s="34">
        <v>0</v>
      </c>
      <c r="M194" s="20"/>
      <c r="N194" s="102" t="s">
        <v>1025</v>
      </c>
      <c r="O194" s="20"/>
      <c r="P194" s="20" t="s">
        <v>866</v>
      </c>
      <c r="Q194" s="20" t="s">
        <v>843</v>
      </c>
      <c r="R194" s="20"/>
      <c r="S194" s="34">
        <v>110</v>
      </c>
    </row>
    <row r="195" spans="1:19" ht="16.5" x14ac:dyDescent="0.35">
      <c r="A195" s="104" t="str">
        <f>HYPERLINK("https://www.examplebusiness.com/resource-center/investment/5-smart-investing-strategies?responsive=false","https://www.examplebusiness.com/resource-center/investment/5-smart-investing-strategies?responsive=false")</f>
        <v>https://www.examplebusiness.com/resource-center/investment/5-smart-investing-strategies?responsive=false</v>
      </c>
      <c r="B195" s="34">
        <v>200</v>
      </c>
      <c r="C195" s="34"/>
      <c r="D195" s="20" t="s">
        <v>2227</v>
      </c>
      <c r="E195" s="34" t="s">
        <v>691</v>
      </c>
      <c r="F195" s="34">
        <v>44</v>
      </c>
      <c r="G195" s="34">
        <v>382</v>
      </c>
      <c r="H195" s="20"/>
      <c r="I195" s="20"/>
      <c r="J195" s="34" t="s">
        <v>694</v>
      </c>
      <c r="K195" s="34">
        <v>0</v>
      </c>
      <c r="L195" s="34">
        <v>0</v>
      </c>
      <c r="M195" s="20"/>
      <c r="N195" s="102" t="s">
        <v>1025</v>
      </c>
      <c r="O195" s="20"/>
      <c r="P195" s="20" t="s">
        <v>866</v>
      </c>
      <c r="Q195" s="20" t="s">
        <v>843</v>
      </c>
      <c r="R195" s="20"/>
      <c r="S195" s="34">
        <v>110</v>
      </c>
    </row>
    <row r="196" spans="1:19" ht="16.5" x14ac:dyDescent="0.35">
      <c r="A196" s="104" t="str">
        <f>HYPERLINK("https://www.examplebusiness.com/resource-center/investment/a-decision-not-made-is-still-a-decision","https://www.examplebusiness.com/resource-center/investment/a-decision-not-made-is-still-a-decision")</f>
        <v>https://www.examplebusiness.com/resource-center/investment/a-decision-not-made-is-still-a-decision</v>
      </c>
      <c r="B196" s="34">
        <v>200</v>
      </c>
      <c r="C196" s="34"/>
      <c r="D196" s="20" t="s">
        <v>2228</v>
      </c>
      <c r="E196" s="34" t="s">
        <v>691</v>
      </c>
      <c r="F196" s="34">
        <v>55</v>
      </c>
      <c r="G196" s="34">
        <v>474</v>
      </c>
      <c r="H196" s="20"/>
      <c r="I196" s="20"/>
      <c r="J196" s="34" t="s">
        <v>694</v>
      </c>
      <c r="K196" s="34">
        <v>0</v>
      </c>
      <c r="L196" s="34">
        <v>0</v>
      </c>
      <c r="M196" s="20"/>
      <c r="N196" s="102" t="s">
        <v>1029</v>
      </c>
      <c r="O196" s="20"/>
      <c r="P196" s="20" t="s">
        <v>1030</v>
      </c>
      <c r="Q196" s="20" t="s">
        <v>1031</v>
      </c>
      <c r="R196" s="20"/>
      <c r="S196" s="34">
        <v>611</v>
      </c>
    </row>
    <row r="197" spans="1:19" ht="16.5" x14ac:dyDescent="0.35">
      <c r="A197" s="104" t="str">
        <f>HYPERLINK("https://www.examplebusiness.com/resource-center/investment/a-look-at-diversification","https://www.examplebusiness.com/resource-center/investment/a-look-at-diversification")</f>
        <v>https://www.examplebusiness.com/resource-center/investment/a-look-at-diversification</v>
      </c>
      <c r="B197" s="34">
        <v>200</v>
      </c>
      <c r="C197" s="34"/>
      <c r="D197" s="20" t="s">
        <v>2229</v>
      </c>
      <c r="E197" s="34" t="s">
        <v>691</v>
      </c>
      <c r="F197" s="34">
        <v>41</v>
      </c>
      <c r="G197" s="34">
        <v>345</v>
      </c>
      <c r="H197" s="20"/>
      <c r="I197" s="20"/>
      <c r="J197" s="34" t="s">
        <v>694</v>
      </c>
      <c r="K197" s="34">
        <v>0</v>
      </c>
      <c r="L197" s="34">
        <v>0</v>
      </c>
      <c r="M197" s="20"/>
      <c r="N197" s="102" t="s">
        <v>1032</v>
      </c>
      <c r="O197" s="20"/>
      <c r="P197" s="20" t="s">
        <v>1033</v>
      </c>
      <c r="Q197" s="20" t="s">
        <v>1034</v>
      </c>
      <c r="R197" s="20"/>
      <c r="S197" s="34">
        <v>658</v>
      </c>
    </row>
    <row r="198" spans="1:19" ht="16.5" x14ac:dyDescent="0.35">
      <c r="A198" s="104" t="str">
        <f>HYPERLINK("https://www.examplebusiness.com/resource-center/investment/a-primer-on-dividends","https://www.examplebusiness.com/resource-center/investment/a-primer-on-dividends")</f>
        <v>https://www.examplebusiness.com/resource-center/investment/a-primer-on-dividends</v>
      </c>
      <c r="B198" s="34">
        <v>200</v>
      </c>
      <c r="C198" s="34"/>
      <c r="D198" s="20" t="s">
        <v>2230</v>
      </c>
      <c r="E198" s="34" t="s">
        <v>691</v>
      </c>
      <c r="F198" s="34">
        <v>37</v>
      </c>
      <c r="G198" s="34">
        <v>327</v>
      </c>
      <c r="H198" s="20"/>
      <c r="I198" s="20"/>
      <c r="J198" s="34" t="s">
        <v>694</v>
      </c>
      <c r="K198" s="34">
        <v>0</v>
      </c>
      <c r="L198" s="34">
        <v>0</v>
      </c>
      <c r="M198" s="20"/>
      <c r="N198" s="102" t="s">
        <v>1035</v>
      </c>
      <c r="O198" s="20"/>
      <c r="P198" s="20" t="s">
        <v>1036</v>
      </c>
      <c r="Q198" s="20" t="s">
        <v>1037</v>
      </c>
      <c r="R198" s="20"/>
      <c r="S198" s="34">
        <v>683</v>
      </c>
    </row>
    <row r="199" spans="1:19" ht="16.5" x14ac:dyDescent="0.35">
      <c r="A199" s="104" t="str">
        <f>HYPERLINK("https://www.examplebusiness.com/resource-center/investment/a-taxing-story-capital-gains-and-losses","https://www.examplebusiness.com/resource-center/investment/a-taxing-story-capital-gains-and-losses")</f>
        <v>https://www.examplebusiness.com/resource-center/investment/a-taxing-story-capital-gains-and-losses</v>
      </c>
      <c r="B199" s="34">
        <v>200</v>
      </c>
      <c r="C199" s="34"/>
      <c r="D199" s="20" t="s">
        <v>2231</v>
      </c>
      <c r="E199" s="34" t="s">
        <v>691</v>
      </c>
      <c r="F199" s="34">
        <v>56</v>
      </c>
      <c r="G199" s="34">
        <v>499</v>
      </c>
      <c r="H199" s="20"/>
      <c r="I199" s="20"/>
      <c r="J199" s="34" t="s">
        <v>694</v>
      </c>
      <c r="K199" s="34">
        <v>0</v>
      </c>
      <c r="L199" s="34">
        <v>0</v>
      </c>
      <c r="M199" s="20"/>
      <c r="N199" s="102" t="s">
        <v>1038</v>
      </c>
      <c r="O199" s="20"/>
      <c r="P199" s="20" t="s">
        <v>1039</v>
      </c>
      <c r="Q199" s="20" t="s">
        <v>1040</v>
      </c>
      <c r="R199" s="20"/>
      <c r="S199" s="34">
        <v>602</v>
      </c>
    </row>
    <row r="200" spans="1:19" ht="16.5" x14ac:dyDescent="0.35">
      <c r="A200" s="104" t="str">
        <f>HYPERLINK("https://www.examplebusiness.com/resource-center/investment/all-muni-bonds-are-not-created-equal","https://www.examplebusiness.com/resource-center/investment/all-muni-bonds-are-not-created-equal")</f>
        <v>https://www.examplebusiness.com/resource-center/investment/all-muni-bonds-are-not-created-equal</v>
      </c>
      <c r="B200" s="34">
        <v>200</v>
      </c>
      <c r="C200" s="34"/>
      <c r="D200" s="20" t="s">
        <v>2232</v>
      </c>
      <c r="E200" s="34" t="s">
        <v>691</v>
      </c>
      <c r="F200" s="34">
        <v>52</v>
      </c>
      <c r="G200" s="34">
        <v>467</v>
      </c>
      <c r="H200" s="20"/>
      <c r="I200" s="20"/>
      <c r="J200" s="34" t="s">
        <v>694</v>
      </c>
      <c r="K200" s="34">
        <v>0</v>
      </c>
      <c r="L200" s="34">
        <v>0</v>
      </c>
      <c r="M200" s="20"/>
      <c r="N200" s="102" t="s">
        <v>1041</v>
      </c>
      <c r="O200" s="20"/>
      <c r="P200" s="20" t="s">
        <v>1042</v>
      </c>
      <c r="Q200" s="20" t="s">
        <v>1043</v>
      </c>
      <c r="R200" s="20"/>
      <c r="S200" s="34">
        <v>749</v>
      </c>
    </row>
    <row r="201" spans="1:19" ht="16.5" x14ac:dyDescent="0.35">
      <c r="A201" s="104" t="str">
        <f>HYPERLINK("https://www.examplebusiness.com/resource-center/investment/alternative-investments-going-mainstream","https://www.examplebusiness.com/resource-center/investment/alternative-investments-going-mainstream")</f>
        <v>https://www.examplebusiness.com/resource-center/investment/alternative-investments-going-mainstream</v>
      </c>
      <c r="B201" s="34">
        <v>200</v>
      </c>
      <c r="C201" s="34"/>
      <c r="D201" s="20" t="s">
        <v>2233</v>
      </c>
      <c r="E201" s="34" t="s">
        <v>691</v>
      </c>
      <c r="F201" s="34">
        <v>58</v>
      </c>
      <c r="G201" s="34">
        <v>516</v>
      </c>
      <c r="H201" s="20"/>
      <c r="I201" s="20"/>
      <c r="J201" s="34" t="s">
        <v>694</v>
      </c>
      <c r="K201" s="34">
        <v>0</v>
      </c>
      <c r="L201" s="34">
        <v>0</v>
      </c>
      <c r="M201" s="20"/>
      <c r="N201" s="102" t="s">
        <v>1044</v>
      </c>
      <c r="O201" s="20"/>
      <c r="P201" s="20" t="s">
        <v>1045</v>
      </c>
      <c r="Q201" s="20" t="s">
        <v>843</v>
      </c>
      <c r="R201" s="20"/>
      <c r="S201" s="34">
        <v>693</v>
      </c>
    </row>
    <row r="202" spans="1:19" ht="16.5" x14ac:dyDescent="0.35">
      <c r="A202" s="104" t="str">
        <f>HYPERLINK("https://www.examplebusiness.com/resource-center/investment/are-alternative-investments-right-for-you","https://www.examplebusiness.com/resource-center/investment/are-alternative-investments-right-for-you")</f>
        <v>https://www.examplebusiness.com/resource-center/investment/are-alternative-investments-right-for-you</v>
      </c>
      <c r="B202" s="34">
        <v>200</v>
      </c>
      <c r="C202" s="34"/>
      <c r="D202" s="20" t="s">
        <v>2234</v>
      </c>
      <c r="E202" s="34" t="s">
        <v>691</v>
      </c>
      <c r="F202" s="34">
        <v>58</v>
      </c>
      <c r="G202" s="34">
        <v>506</v>
      </c>
      <c r="H202" s="20"/>
      <c r="I202" s="20"/>
      <c r="J202" s="34" t="s">
        <v>694</v>
      </c>
      <c r="K202" s="34">
        <v>0</v>
      </c>
      <c r="L202" s="34">
        <v>0</v>
      </c>
      <c r="M202" s="20"/>
      <c r="N202" s="102" t="s">
        <v>1046</v>
      </c>
      <c r="O202" s="20"/>
      <c r="P202" s="20" t="s">
        <v>843</v>
      </c>
      <c r="Q202" s="20" t="s">
        <v>845</v>
      </c>
      <c r="R202" s="20"/>
      <c r="S202" s="34">
        <v>102</v>
      </c>
    </row>
    <row r="203" spans="1:19" ht="16.5" x14ac:dyDescent="0.35">
      <c r="A203" s="104" t="str">
        <f>HYPERLINK("https://www.examplebusiness.com/resource-center/investment/asset-allocation","https://www.examplebusiness.com/resource-center/investment/asset-allocation")</f>
        <v>https://www.examplebusiness.com/resource-center/investment/asset-allocation</v>
      </c>
      <c r="B203" s="34">
        <v>200</v>
      </c>
      <c r="C203" s="34"/>
      <c r="D203" s="20" t="s">
        <v>2235</v>
      </c>
      <c r="E203" s="34" t="s">
        <v>691</v>
      </c>
      <c r="F203" s="34">
        <v>32</v>
      </c>
      <c r="G203" s="34">
        <v>273</v>
      </c>
      <c r="H203" s="20"/>
      <c r="I203" s="20"/>
      <c r="J203" s="34" t="s">
        <v>694</v>
      </c>
      <c r="K203" s="34">
        <v>0</v>
      </c>
      <c r="L203" s="34">
        <v>0</v>
      </c>
      <c r="M203" s="20"/>
      <c r="N203" s="102" t="s">
        <v>1047</v>
      </c>
      <c r="O203" s="20"/>
      <c r="P203" s="20" t="s">
        <v>1047</v>
      </c>
      <c r="Q203" s="20" t="s">
        <v>1048</v>
      </c>
      <c r="R203" s="20"/>
      <c r="S203" s="34">
        <v>765</v>
      </c>
    </row>
    <row r="204" spans="1:19" ht="16.5" x14ac:dyDescent="0.35">
      <c r="A204" s="104" t="str">
        <f>HYPERLINK("https://www.examplebusiness.com/resource-center/investment/best-performing-asset-classes","https://www.examplebusiness.com/resource-center/investment/best-performing-asset-classes")</f>
        <v>https://www.examplebusiness.com/resource-center/investment/best-performing-asset-classes</v>
      </c>
      <c r="B204" s="34">
        <v>200</v>
      </c>
      <c r="C204" s="34"/>
      <c r="D204" s="20" t="s">
        <v>2236</v>
      </c>
      <c r="E204" s="34" t="s">
        <v>691</v>
      </c>
      <c r="F204" s="34">
        <v>45</v>
      </c>
      <c r="G204" s="34">
        <v>408</v>
      </c>
      <c r="H204" s="20"/>
      <c r="I204" s="20"/>
      <c r="J204" s="34" t="s">
        <v>694</v>
      </c>
      <c r="K204" s="34">
        <v>0</v>
      </c>
      <c r="L204" s="34">
        <v>0</v>
      </c>
      <c r="M204" s="20"/>
      <c r="N204" s="102" t="s">
        <v>1049</v>
      </c>
      <c r="O204" s="20"/>
      <c r="P204" s="20" t="s">
        <v>1050</v>
      </c>
      <c r="Q204" s="20" t="s">
        <v>843</v>
      </c>
      <c r="R204" s="20"/>
      <c r="S204" s="34">
        <v>747</v>
      </c>
    </row>
    <row r="205" spans="1:19" ht="16.5" x14ac:dyDescent="0.35">
      <c r="A205" s="104" t="str">
        <f>HYPERLINK("https://www.examplebusiness.com/resource-center/investment/bridging-the-confidence-gap","https://www.examplebusiness.com/resource-center/investment/bridging-the-confidence-gap")</f>
        <v>https://www.examplebusiness.com/resource-center/investment/bridging-the-confidence-gap</v>
      </c>
      <c r="B205" s="34">
        <v>200</v>
      </c>
      <c r="C205" s="34"/>
      <c r="D205" s="20" t="s">
        <v>2237</v>
      </c>
      <c r="E205" s="34" t="s">
        <v>691</v>
      </c>
      <c r="F205" s="34">
        <v>43</v>
      </c>
      <c r="G205" s="34">
        <v>385</v>
      </c>
      <c r="H205" s="20"/>
      <c r="I205" s="20"/>
      <c r="J205" s="34" t="s">
        <v>694</v>
      </c>
      <c r="K205" s="34">
        <v>0</v>
      </c>
      <c r="L205" s="34">
        <v>0</v>
      </c>
      <c r="M205" s="20"/>
      <c r="N205" s="102" t="s">
        <v>1051</v>
      </c>
      <c r="O205" s="20"/>
      <c r="P205" s="20" t="s">
        <v>843</v>
      </c>
      <c r="Q205" s="20" t="s">
        <v>845</v>
      </c>
      <c r="R205" s="20"/>
      <c r="S205" s="34">
        <v>117</v>
      </c>
    </row>
    <row r="206" spans="1:19" ht="16.5" x14ac:dyDescent="0.35">
      <c r="A206" s="104" t="str">
        <f>HYPERLINK("https://www.examplebusiness.com/resource-center/investment/bursting-the-bubble","https://www.examplebusiness.com/resource-center/investment/bursting-the-bubble")</f>
        <v>https://www.examplebusiness.com/resource-center/investment/bursting-the-bubble</v>
      </c>
      <c r="B206" s="34">
        <v>200</v>
      </c>
      <c r="C206" s="34"/>
      <c r="D206" s="20" t="s">
        <v>2238</v>
      </c>
      <c r="E206" s="34" t="s">
        <v>691</v>
      </c>
      <c r="F206" s="34">
        <v>35</v>
      </c>
      <c r="G206" s="34">
        <v>303</v>
      </c>
      <c r="H206" s="20"/>
      <c r="I206" s="20"/>
      <c r="J206" s="34" t="s">
        <v>694</v>
      </c>
      <c r="K206" s="34">
        <v>0</v>
      </c>
      <c r="L206" s="34">
        <v>0</v>
      </c>
      <c r="M206" s="20"/>
      <c r="N206" s="102" t="s">
        <v>1052</v>
      </c>
      <c r="O206" s="20"/>
      <c r="P206" s="20" t="s">
        <v>843</v>
      </c>
      <c r="Q206" s="20" t="s">
        <v>845</v>
      </c>
      <c r="R206" s="20"/>
      <c r="S206" s="34">
        <v>104</v>
      </c>
    </row>
    <row r="207" spans="1:19" ht="16.5" x14ac:dyDescent="0.35">
      <c r="A207" s="104" t="str">
        <f>HYPERLINK("https://www.examplebusiness.com/resource-center/investment/business-cycle","https://www.examplebusiness.com/resource-center/investment/business-cycle")</f>
        <v>https://www.examplebusiness.com/resource-center/investment/business-cycle</v>
      </c>
      <c r="B207" s="34">
        <v>200</v>
      </c>
      <c r="C207" s="34"/>
      <c r="D207" s="20" t="s">
        <v>2239</v>
      </c>
      <c r="E207" s="34" t="s">
        <v>691</v>
      </c>
      <c r="F207" s="34">
        <v>34</v>
      </c>
      <c r="G207" s="34">
        <v>305</v>
      </c>
      <c r="H207" s="20"/>
      <c r="I207" s="20"/>
      <c r="J207" s="34" t="s">
        <v>694</v>
      </c>
      <c r="K207" s="34">
        <v>0</v>
      </c>
      <c r="L207" s="34">
        <v>0</v>
      </c>
      <c r="M207" s="20"/>
      <c r="N207" s="102" t="s">
        <v>1053</v>
      </c>
      <c r="O207" s="20"/>
      <c r="P207" s="20" t="s">
        <v>1054</v>
      </c>
      <c r="Q207" s="20" t="s">
        <v>1055</v>
      </c>
      <c r="R207" s="20"/>
      <c r="S207" s="34">
        <v>517</v>
      </c>
    </row>
    <row r="208" spans="1:19" ht="16.5" x14ac:dyDescent="0.35">
      <c r="A208" s="104" t="str">
        <f>HYPERLINK("https://www.examplebusiness.com/resource-center/investment/can-election-results-predict-the-market","https://www.examplebusiness.com/resource-center/investment/can-election-results-predict-the-market")</f>
        <v>https://www.examplebusiness.com/resource-center/investment/can-election-results-predict-the-market</v>
      </c>
      <c r="B208" s="34">
        <v>200</v>
      </c>
      <c r="C208" s="34"/>
      <c r="D208" s="20" t="s">
        <v>2240</v>
      </c>
      <c r="E208" s="34" t="s">
        <v>691</v>
      </c>
      <c r="F208" s="34">
        <v>56</v>
      </c>
      <c r="G208" s="34">
        <v>494</v>
      </c>
      <c r="H208" s="20"/>
      <c r="I208" s="20"/>
      <c r="J208" s="34" t="s">
        <v>694</v>
      </c>
      <c r="K208" s="34">
        <v>0</v>
      </c>
      <c r="L208" s="34">
        <v>0</v>
      </c>
      <c r="M208" s="20"/>
      <c r="N208" s="102" t="s">
        <v>1056</v>
      </c>
      <c r="O208" s="20"/>
      <c r="P208" s="20" t="s">
        <v>843</v>
      </c>
      <c r="Q208" s="20" t="s">
        <v>845</v>
      </c>
      <c r="R208" s="20"/>
      <c r="S208" s="34">
        <v>108</v>
      </c>
    </row>
    <row r="209" spans="1:19" ht="16.5" x14ac:dyDescent="0.35">
      <c r="A209" s="104" t="str">
        <f>HYPERLINK("https://www.examplebusiness.com/resource-center/investment/contributing-to-an-ira","https://www.examplebusiness.com/resource-center/investment/contributing-to-an-ira")</f>
        <v>https://www.examplebusiness.com/resource-center/investment/contributing-to-an-ira</v>
      </c>
      <c r="B209" s="34">
        <v>200</v>
      </c>
      <c r="C209" s="34"/>
      <c r="D209" s="20" t="s">
        <v>2241</v>
      </c>
      <c r="E209" s="34" t="s">
        <v>691</v>
      </c>
      <c r="F209" s="34">
        <v>39</v>
      </c>
      <c r="G209" s="34">
        <v>337</v>
      </c>
      <c r="H209" s="20"/>
      <c r="I209" s="20"/>
      <c r="J209" s="34" t="s">
        <v>694</v>
      </c>
      <c r="K209" s="34">
        <v>0</v>
      </c>
      <c r="L209" s="34">
        <v>0</v>
      </c>
      <c r="M209" s="20"/>
      <c r="N209" s="102" t="s">
        <v>1057</v>
      </c>
      <c r="O209" s="20"/>
      <c r="P209" s="20" t="s">
        <v>843</v>
      </c>
      <c r="Q209" s="20" t="s">
        <v>845</v>
      </c>
      <c r="R209" s="20"/>
      <c r="S209" s="34">
        <v>115</v>
      </c>
    </row>
    <row r="210" spans="1:19" ht="16.5" x14ac:dyDescent="0.35">
      <c r="A210" s="104" t="str">
        <f>HYPERLINK("https://www.examplebusiness.com/resource-center/investment/dont-be-your-own-worst-enemy","https://www.examplebusiness.com/resource-center/investment/dont-be-your-own-worst-enemy")</f>
        <v>https://www.examplebusiness.com/resource-center/investment/dont-be-your-own-worst-enemy</v>
      </c>
      <c r="B210" s="34">
        <v>200</v>
      </c>
      <c r="C210" s="34"/>
      <c r="D210" s="20" t="s">
        <v>2242</v>
      </c>
      <c r="E210" s="34" t="s">
        <v>691</v>
      </c>
      <c r="F210" s="34">
        <v>45</v>
      </c>
      <c r="G210" s="34">
        <v>428</v>
      </c>
      <c r="H210" s="20"/>
      <c r="I210" s="20"/>
      <c r="J210" s="34" t="s">
        <v>694</v>
      </c>
      <c r="K210" s="34">
        <v>0</v>
      </c>
      <c r="L210" s="34">
        <v>0</v>
      </c>
      <c r="M210" s="20"/>
      <c r="N210" s="102" t="s">
        <v>1058</v>
      </c>
      <c r="O210" s="20"/>
      <c r="P210" s="20" t="s">
        <v>843</v>
      </c>
      <c r="Q210" s="20" t="s">
        <v>845</v>
      </c>
      <c r="R210" s="20"/>
      <c r="S210" s="34">
        <v>597</v>
      </c>
    </row>
    <row r="211" spans="1:19" ht="16.5" x14ac:dyDescent="0.35">
      <c r="A211" s="104" t="str">
        <f>HYPERLINK("https://www.examplebusiness.com/resource-center/investment/earnings-for-all-seasons","https://www.examplebusiness.com/resource-center/investment/earnings-for-all-seasons")</f>
        <v>https://www.examplebusiness.com/resource-center/investment/earnings-for-all-seasons</v>
      </c>
      <c r="B211" s="34">
        <v>200</v>
      </c>
      <c r="C211" s="34"/>
      <c r="D211" s="20" t="s">
        <v>2243</v>
      </c>
      <c r="E211" s="34" t="s">
        <v>691</v>
      </c>
      <c r="F211" s="34">
        <v>40</v>
      </c>
      <c r="G211" s="34">
        <v>348</v>
      </c>
      <c r="H211" s="20"/>
      <c r="I211" s="20"/>
      <c r="J211" s="34" t="s">
        <v>694</v>
      </c>
      <c r="K211" s="34">
        <v>0</v>
      </c>
      <c r="L211" s="34">
        <v>0</v>
      </c>
      <c r="M211" s="20"/>
      <c r="N211" s="102" t="s">
        <v>1059</v>
      </c>
      <c r="O211" s="20"/>
      <c r="P211" s="20" t="s">
        <v>1060</v>
      </c>
      <c r="Q211" s="20" t="s">
        <v>1061</v>
      </c>
      <c r="R211" s="20"/>
      <c r="S211" s="34">
        <v>677</v>
      </c>
    </row>
    <row r="212" spans="1:19" ht="16.5" x14ac:dyDescent="0.35">
      <c r="A212" s="104" t="str">
        <f>HYPERLINK("https://www.examplebusiness.com/resource-center/investment/emerging-market-opportunities","https://www.examplebusiness.com/resource-center/investment/emerging-market-opportunities")</f>
        <v>https://www.examplebusiness.com/resource-center/investment/emerging-market-opportunities</v>
      </c>
      <c r="B212" s="34">
        <v>200</v>
      </c>
      <c r="C212" s="34"/>
      <c r="D212" s="20" t="s">
        <v>2244</v>
      </c>
      <c r="E212" s="34" t="s">
        <v>691</v>
      </c>
      <c r="F212" s="34">
        <v>45</v>
      </c>
      <c r="G212" s="34">
        <v>407</v>
      </c>
      <c r="H212" s="20"/>
      <c r="I212" s="20"/>
      <c r="J212" s="34" t="s">
        <v>694</v>
      </c>
      <c r="K212" s="34">
        <v>0</v>
      </c>
      <c r="L212" s="34">
        <v>0</v>
      </c>
      <c r="M212" s="20"/>
      <c r="N212" s="102" t="s">
        <v>1062</v>
      </c>
      <c r="O212" s="20"/>
      <c r="P212" s="20" t="s">
        <v>843</v>
      </c>
      <c r="Q212" s="20" t="s">
        <v>845</v>
      </c>
      <c r="R212" s="20"/>
      <c r="S212" s="34">
        <v>104</v>
      </c>
    </row>
    <row r="213" spans="1:19" ht="16.5" x14ac:dyDescent="0.35">
      <c r="A213" s="104" t="str">
        <f>HYPERLINK("https://www.examplebusiness.com/resource-center/investment/estimating-the-cost-of-college","https://www.examplebusiness.com/resource-center/investment/estimating-the-cost-of-college")</f>
        <v>https://www.examplebusiness.com/resource-center/investment/estimating-the-cost-of-college</v>
      </c>
      <c r="B213" s="34">
        <v>200</v>
      </c>
      <c r="C213" s="34"/>
      <c r="D213" s="20" t="s">
        <v>2245</v>
      </c>
      <c r="E213" s="34" t="s">
        <v>691</v>
      </c>
      <c r="F213" s="34">
        <v>46</v>
      </c>
      <c r="G213" s="34">
        <v>399</v>
      </c>
      <c r="H213" s="20"/>
      <c r="I213" s="20"/>
      <c r="J213" s="34" t="s">
        <v>694</v>
      </c>
      <c r="K213" s="34">
        <v>0</v>
      </c>
      <c r="L213" s="34">
        <v>0</v>
      </c>
      <c r="M213" s="20"/>
      <c r="N213" s="102" t="s">
        <v>1063</v>
      </c>
      <c r="O213" s="20"/>
      <c r="P213" s="20" t="s">
        <v>824</v>
      </c>
      <c r="Q213" s="20" t="s">
        <v>1063</v>
      </c>
      <c r="R213" s="20"/>
      <c r="S213" s="34">
        <v>488</v>
      </c>
    </row>
    <row r="214" spans="1:19" ht="16.5" x14ac:dyDescent="0.35">
      <c r="A214" s="104" t="str">
        <f>HYPERLINK("https://www.examplebusiness.com/resource-center/investment/events-on-wall-street","https://www.examplebusiness.com/resource-center/investment/events-on-wall-street")</f>
        <v>https://www.examplebusiness.com/resource-center/investment/events-on-wall-street</v>
      </c>
      <c r="B214" s="34">
        <v>200</v>
      </c>
      <c r="C214" s="34"/>
      <c r="D214" s="20" t="s">
        <v>2246</v>
      </c>
      <c r="E214" s="34" t="s">
        <v>691</v>
      </c>
      <c r="F214" s="34">
        <v>37</v>
      </c>
      <c r="G214" s="34">
        <v>323</v>
      </c>
      <c r="H214" s="20"/>
      <c r="I214" s="20"/>
      <c r="J214" s="34" t="s">
        <v>694</v>
      </c>
      <c r="K214" s="34">
        <v>0</v>
      </c>
      <c r="L214" s="34">
        <v>0</v>
      </c>
      <c r="M214" s="20"/>
      <c r="N214" s="102" t="s">
        <v>1064</v>
      </c>
      <c r="O214" s="20"/>
      <c r="P214" s="20" t="s">
        <v>843</v>
      </c>
      <c r="Q214" s="20" t="s">
        <v>845</v>
      </c>
      <c r="R214" s="20"/>
      <c r="S214" s="34">
        <v>104</v>
      </c>
    </row>
    <row r="215" spans="1:19" ht="16.5" x14ac:dyDescent="0.35">
      <c r="A215" s="104" t="str">
        <f>HYPERLINK("https://www.examplebusiness.com/resource-center/investment/four-really-good-reasons-to-invest","https://www.examplebusiness.com/resource-center/investment/four-really-good-reasons-to-invest")</f>
        <v>https://www.examplebusiness.com/resource-center/investment/four-really-good-reasons-to-invest</v>
      </c>
      <c r="B215" s="34">
        <v>200</v>
      </c>
      <c r="C215" s="34"/>
      <c r="D215" s="20" t="s">
        <v>2247</v>
      </c>
      <c r="E215" s="34" t="s">
        <v>691</v>
      </c>
      <c r="F215" s="34">
        <v>50</v>
      </c>
      <c r="G215" s="34">
        <v>452</v>
      </c>
      <c r="H215" s="20"/>
      <c r="I215" s="20"/>
      <c r="J215" s="34" t="s">
        <v>694</v>
      </c>
      <c r="K215" s="34">
        <v>0</v>
      </c>
      <c r="L215" s="34">
        <v>0</v>
      </c>
      <c r="M215" s="20"/>
      <c r="N215" s="102" t="s">
        <v>1065</v>
      </c>
      <c r="O215" s="20"/>
      <c r="P215" s="20" t="s">
        <v>1066</v>
      </c>
      <c r="Q215" s="20" t="s">
        <v>1067</v>
      </c>
      <c r="R215" s="20"/>
      <c r="S215" s="34">
        <v>548</v>
      </c>
    </row>
    <row r="216" spans="1:19" ht="16.5" x14ac:dyDescent="0.35">
      <c r="A216" s="104" t="str">
        <f>HYPERLINK("https://www.examplebusiness.com/resource-center/investment/from-boats-to-brokers-a-history-of-the-stock-market","https://www.examplebusiness.com/resource-center/investment/from-boats-to-brokers-a-history-of-the-stock-market")</f>
        <v>https://www.examplebusiness.com/resource-center/investment/from-boats-to-brokers-a-history-of-the-stock-market</v>
      </c>
      <c r="B216" s="34">
        <v>200</v>
      </c>
      <c r="C216" s="34"/>
      <c r="D216" s="20" t="s">
        <v>1068</v>
      </c>
      <c r="E216" s="34" t="s">
        <v>691</v>
      </c>
      <c r="F216" s="34">
        <v>52</v>
      </c>
      <c r="G216" s="34">
        <v>473</v>
      </c>
      <c r="H216" s="20"/>
      <c r="I216" s="20"/>
      <c r="J216" s="34" t="s">
        <v>694</v>
      </c>
      <c r="K216" s="34">
        <v>0</v>
      </c>
      <c r="L216" s="34">
        <v>0</v>
      </c>
      <c r="M216" s="20"/>
      <c r="N216" s="102" t="s">
        <v>1024</v>
      </c>
      <c r="O216" s="20"/>
      <c r="P216" s="20" t="s">
        <v>843</v>
      </c>
      <c r="Q216" s="20" t="s">
        <v>845</v>
      </c>
      <c r="R216" s="20"/>
      <c r="S216" s="34">
        <v>120</v>
      </c>
    </row>
    <row r="217" spans="1:19" ht="16.5" x14ac:dyDescent="0.35">
      <c r="A217" s="104" t="str">
        <f>HYPERLINK("https://www.examplebusiness.com/resource-center/investment/getting-a-head-start-on-college-savings","https://www.examplebusiness.com/resource-center/investment/getting-a-head-start-on-college-savings")</f>
        <v>https://www.examplebusiness.com/resource-center/investment/getting-a-head-start-on-college-savings</v>
      </c>
      <c r="B217" s="34">
        <v>200</v>
      </c>
      <c r="C217" s="34"/>
      <c r="D217" s="20" t="s">
        <v>2248</v>
      </c>
      <c r="E217" s="34" t="s">
        <v>691</v>
      </c>
      <c r="F217" s="34">
        <v>55</v>
      </c>
      <c r="G217" s="34">
        <v>488</v>
      </c>
      <c r="H217" s="20"/>
      <c r="I217" s="20"/>
      <c r="J217" s="34" t="s">
        <v>694</v>
      </c>
      <c r="K217" s="34">
        <v>0</v>
      </c>
      <c r="L217" s="34">
        <v>0</v>
      </c>
      <c r="M217" s="20"/>
      <c r="N217" s="102" t="s">
        <v>1069</v>
      </c>
      <c r="O217" s="20"/>
      <c r="P217" s="20" t="s">
        <v>843</v>
      </c>
      <c r="Q217" s="20" t="s">
        <v>845</v>
      </c>
      <c r="R217" s="20"/>
      <c r="S217" s="34">
        <v>765</v>
      </c>
    </row>
    <row r="218" spans="1:19" ht="16.5" x14ac:dyDescent="0.35">
      <c r="A218" s="104" t="str">
        <f>HYPERLINK("https://www.examplebusiness.com/resource-center/investment/global-and-international-funds","https://www.examplebusiness.com/resource-center/investment/global-and-international-funds")</f>
        <v>https://www.examplebusiness.com/resource-center/investment/global-and-international-funds</v>
      </c>
      <c r="B218" s="34">
        <v>200</v>
      </c>
      <c r="C218" s="34"/>
      <c r="D218" s="20" t="s">
        <v>1070</v>
      </c>
      <c r="E218" s="34" t="s">
        <v>691</v>
      </c>
      <c r="F218" s="34">
        <v>30</v>
      </c>
      <c r="G218" s="34">
        <v>257</v>
      </c>
      <c r="H218" s="20"/>
      <c r="I218" s="20"/>
      <c r="J218" s="34" t="s">
        <v>694</v>
      </c>
      <c r="K218" s="34">
        <v>0</v>
      </c>
      <c r="L218" s="34">
        <v>0</v>
      </c>
      <c r="M218" s="20"/>
      <c r="N218" s="102" t="s">
        <v>1071</v>
      </c>
      <c r="O218" s="20"/>
      <c r="P218" s="20" t="s">
        <v>843</v>
      </c>
      <c r="Q218" s="20" t="s">
        <v>845</v>
      </c>
      <c r="R218" s="20"/>
      <c r="S218" s="34">
        <v>104</v>
      </c>
    </row>
    <row r="219" spans="1:19" ht="16.5" x14ac:dyDescent="0.35">
      <c r="A219" s="104" t="str">
        <f>HYPERLINK("https://www.examplebusiness.com/resource-center/investment/global-vs-international-whats-the-difference","https://www.examplebusiness.com/resource-center/investment/global-vs-international-whats-the-difference")</f>
        <v>https://www.examplebusiness.com/resource-center/investment/global-vs-international-whats-the-difference</v>
      </c>
      <c r="B219" s="34">
        <v>200</v>
      </c>
      <c r="C219" s="34"/>
      <c r="D219" s="20" t="s">
        <v>2249</v>
      </c>
      <c r="E219" s="34" t="s">
        <v>691</v>
      </c>
      <c r="F219" s="34">
        <v>64</v>
      </c>
      <c r="G219" s="34">
        <v>552</v>
      </c>
      <c r="H219" s="20"/>
      <c r="I219" s="20"/>
      <c r="J219" s="34" t="s">
        <v>694</v>
      </c>
      <c r="K219" s="34">
        <v>0</v>
      </c>
      <c r="L219" s="34">
        <v>0</v>
      </c>
      <c r="M219" s="20"/>
      <c r="N219" s="102" t="s">
        <v>1072</v>
      </c>
      <c r="O219" s="20"/>
      <c r="P219" s="20" t="s">
        <v>1073</v>
      </c>
      <c r="Q219" s="20" t="s">
        <v>1061</v>
      </c>
      <c r="R219" s="20"/>
      <c r="S219" s="34">
        <v>666</v>
      </c>
    </row>
    <row r="220" spans="1:19" ht="16.5" x14ac:dyDescent="0.35">
      <c r="A220" s="104" t="str">
        <f>HYPERLINK("https://www.examplebusiness.com/resource-center/investment/how-compound-interest-works","https://www.examplebusiness.com/resource-center/investment/how-compound-interest-works")</f>
        <v>https://www.examplebusiness.com/resource-center/investment/how-compound-interest-works</v>
      </c>
      <c r="B220" s="34">
        <v>200</v>
      </c>
      <c r="C220" s="34"/>
      <c r="D220" s="20" t="s">
        <v>2250</v>
      </c>
      <c r="E220" s="34" t="s">
        <v>691</v>
      </c>
      <c r="F220" s="34">
        <v>43</v>
      </c>
      <c r="G220" s="34">
        <v>408</v>
      </c>
      <c r="H220" s="20"/>
      <c r="I220" s="20"/>
      <c r="J220" s="34" t="s">
        <v>694</v>
      </c>
      <c r="K220" s="34">
        <v>0</v>
      </c>
      <c r="L220" s="34">
        <v>0</v>
      </c>
      <c r="M220" s="20"/>
      <c r="N220" s="102" t="s">
        <v>1074</v>
      </c>
      <c r="O220" s="20"/>
      <c r="P220" s="20" t="s">
        <v>843</v>
      </c>
      <c r="Q220" s="20" t="s">
        <v>845</v>
      </c>
      <c r="R220" s="20"/>
      <c r="S220" s="34">
        <v>116</v>
      </c>
    </row>
    <row r="221" spans="1:19" ht="16.5" x14ac:dyDescent="0.35">
      <c r="A221" s="104" t="str">
        <f>HYPERLINK("https://www.examplebusiness.com/resource-center/investment/how-Example-professionals-are-compensated","https://www.examplebusiness.com/resource-center/investment/how-Example-professionals-are-compensated")</f>
        <v>https://www.examplebusiness.com/resource-center/investment/how-Example-professionals-are-compensated</v>
      </c>
      <c r="B221" s="34">
        <v>200</v>
      </c>
      <c r="C221" s="34"/>
      <c r="D221" s="20" t="s">
        <v>2518</v>
      </c>
      <c r="E221" s="34" t="s">
        <v>691</v>
      </c>
      <c r="F221" s="34">
        <v>43</v>
      </c>
      <c r="G221" s="34">
        <v>408</v>
      </c>
      <c r="H221" s="20"/>
      <c r="I221" s="20"/>
      <c r="J221" s="34" t="s">
        <v>694</v>
      </c>
      <c r="K221" s="34">
        <v>0</v>
      </c>
      <c r="L221" s="34">
        <v>0</v>
      </c>
      <c r="M221" s="20"/>
      <c r="N221" s="102" t="s">
        <v>2519</v>
      </c>
      <c r="O221" s="20"/>
      <c r="P221" s="20" t="s">
        <v>1075</v>
      </c>
      <c r="Q221" s="20" t="s">
        <v>1076</v>
      </c>
      <c r="R221" s="20"/>
      <c r="S221" s="34">
        <v>962</v>
      </c>
    </row>
    <row r="222" spans="1:19" ht="16.5" x14ac:dyDescent="0.35">
      <c r="A222" s="104" t="str">
        <f>HYPERLINK("https://www.examplebusiness.com/resource-center/investment/how-stocks-work","https://www.examplebusiness.com/resource-center/investment/how-stocks-work")</f>
        <v>https://www.examplebusiness.com/resource-center/investment/how-stocks-work</v>
      </c>
      <c r="B222" s="34">
        <v>200</v>
      </c>
      <c r="C222" s="34"/>
      <c r="D222" s="20" t="s">
        <v>2251</v>
      </c>
      <c r="E222" s="34" t="s">
        <v>691</v>
      </c>
      <c r="F222" s="34">
        <v>31</v>
      </c>
      <c r="G222" s="34">
        <v>291</v>
      </c>
      <c r="H222" s="20"/>
      <c r="I222" s="20"/>
      <c r="J222" s="34" t="s">
        <v>694</v>
      </c>
      <c r="K222" s="34">
        <v>0</v>
      </c>
      <c r="L222" s="34">
        <v>0</v>
      </c>
      <c r="M222" s="20"/>
      <c r="N222" s="102" t="s">
        <v>1077</v>
      </c>
      <c r="O222" s="20"/>
      <c r="P222" s="20" t="s">
        <v>843</v>
      </c>
      <c r="Q222" s="20" t="s">
        <v>845</v>
      </c>
      <c r="R222" s="20"/>
      <c r="S222" s="34">
        <v>92</v>
      </c>
    </row>
    <row r="223" spans="1:19" ht="16.5" x14ac:dyDescent="0.35">
      <c r="A223" s="104" t="str">
        <f>HYPERLINK("https://www.examplebusiness.com/resource-center/investment/how-the-federal-reserve-works","https://www.examplebusiness.com/resource-center/investment/how-the-federal-reserve-works")</f>
        <v>https://www.examplebusiness.com/resource-center/investment/how-the-federal-reserve-works</v>
      </c>
      <c r="B223" s="34">
        <v>200</v>
      </c>
      <c r="C223" s="34"/>
      <c r="D223" s="20" t="s">
        <v>2252</v>
      </c>
      <c r="E223" s="34" t="s">
        <v>691</v>
      </c>
      <c r="F223" s="34">
        <v>45</v>
      </c>
      <c r="G223" s="34">
        <v>420</v>
      </c>
      <c r="H223" s="20"/>
      <c r="I223" s="20"/>
      <c r="J223" s="34" t="s">
        <v>694</v>
      </c>
      <c r="K223" s="34">
        <v>0</v>
      </c>
      <c r="L223" s="34">
        <v>0</v>
      </c>
      <c r="M223" s="20"/>
      <c r="N223" s="102" t="s">
        <v>1078</v>
      </c>
      <c r="O223" s="20"/>
      <c r="P223" s="20" t="s">
        <v>1079</v>
      </c>
      <c r="Q223" s="20" t="s">
        <v>1080</v>
      </c>
      <c r="R223" s="20"/>
      <c r="S223" s="34">
        <v>852</v>
      </c>
    </row>
    <row r="224" spans="1:19" ht="16.5" x14ac:dyDescent="0.35">
      <c r="A224" s="104" t="str">
        <f>HYPERLINK("https://www.examplebusiness.com/resource-center/investment/how-to-invest-in-lgbtq-friendly-companies","https://www.examplebusiness.com/resource-center/investment/how-to-invest-in-lgbtq-friendly-companies")</f>
        <v>https://www.examplebusiness.com/resource-center/investment/how-to-invest-in-lgbtq-friendly-companies</v>
      </c>
      <c r="B224" s="34">
        <v>200</v>
      </c>
      <c r="C224" s="34"/>
      <c r="D224" s="20" t="s">
        <v>2253</v>
      </c>
      <c r="E224" s="34" t="s">
        <v>691</v>
      </c>
      <c r="F224" s="34">
        <v>58</v>
      </c>
      <c r="G224" s="34">
        <v>538</v>
      </c>
      <c r="H224" s="20"/>
      <c r="I224" s="20"/>
      <c r="J224" s="34" t="s">
        <v>694</v>
      </c>
      <c r="K224" s="34">
        <v>0</v>
      </c>
      <c r="L224" s="34">
        <v>0</v>
      </c>
      <c r="M224" s="20"/>
      <c r="N224" s="102" t="s">
        <v>1081</v>
      </c>
      <c r="O224" s="20"/>
      <c r="P224" s="20" t="s">
        <v>1082</v>
      </c>
      <c r="Q224" s="20" t="s">
        <v>1083</v>
      </c>
      <c r="R224" s="20"/>
      <c r="S224" s="34">
        <v>642</v>
      </c>
    </row>
    <row r="225" spans="1:19" ht="16.5" x14ac:dyDescent="0.35">
      <c r="A225" s="104" t="str">
        <f>HYPERLINK("https://www.examplebusiness.com/resource-center/investment/impact-of-taxes-and-inflation","https://www.examplebusiness.com/resource-center/investment/impact-of-taxes-and-inflation")</f>
        <v>https://www.examplebusiness.com/resource-center/investment/impact-of-taxes-and-inflation</v>
      </c>
      <c r="B225" s="34">
        <v>200</v>
      </c>
      <c r="C225" s="34"/>
      <c r="D225" s="20" t="s">
        <v>2254</v>
      </c>
      <c r="E225" s="34" t="s">
        <v>691</v>
      </c>
      <c r="F225" s="34">
        <v>45</v>
      </c>
      <c r="G225" s="34">
        <v>387</v>
      </c>
      <c r="H225" s="20"/>
      <c r="I225" s="20"/>
      <c r="J225" s="34" t="s">
        <v>694</v>
      </c>
      <c r="K225" s="34">
        <v>0</v>
      </c>
      <c r="L225" s="34">
        <v>0</v>
      </c>
      <c r="M225" s="20"/>
      <c r="N225" s="102" t="s">
        <v>1084</v>
      </c>
      <c r="O225" s="20"/>
      <c r="P225" s="20" t="s">
        <v>843</v>
      </c>
      <c r="Q225" s="20" t="s">
        <v>845</v>
      </c>
      <c r="R225" s="20"/>
      <c r="S225" s="34">
        <v>127</v>
      </c>
    </row>
    <row r="226" spans="1:19" ht="16.5" x14ac:dyDescent="0.35">
      <c r="A226" s="104" t="str">
        <f>HYPERLINK("https://www.examplebusiness.com/resource-center/investment/inflation-and-your-money","https://www.examplebusiness.com/resource-center/investment/inflation-and-your-money")</f>
        <v>https://www.examplebusiness.com/resource-center/investment/inflation-and-your-money</v>
      </c>
      <c r="B226" s="34">
        <v>200</v>
      </c>
      <c r="C226" s="34"/>
      <c r="D226" s="20" t="s">
        <v>1085</v>
      </c>
      <c r="E226" s="34" t="s">
        <v>691</v>
      </c>
      <c r="F226" s="34">
        <v>22</v>
      </c>
      <c r="G226" s="34">
        <v>200</v>
      </c>
      <c r="H226" s="20"/>
      <c r="I226" s="20"/>
      <c r="J226" s="34" t="s">
        <v>694</v>
      </c>
      <c r="K226" s="34">
        <v>0</v>
      </c>
      <c r="L226" s="34">
        <v>0</v>
      </c>
      <c r="M226" s="20"/>
      <c r="N226" s="102" t="s">
        <v>1085</v>
      </c>
      <c r="O226" s="20"/>
      <c r="P226" s="20" t="s">
        <v>1086</v>
      </c>
      <c r="Q226" s="20" t="s">
        <v>1087</v>
      </c>
      <c r="R226" s="20"/>
      <c r="S226" s="34">
        <v>669</v>
      </c>
    </row>
    <row r="227" spans="1:19" ht="16.5" x14ac:dyDescent="0.35">
      <c r="A227" s="104" t="str">
        <f>HYPERLINK("https://www.examplebusiness.com/resource-center/investment/inflation-and-your-portfolio","https://www.examplebusiness.com/resource-center/investment/inflation-and-your-portfolio")</f>
        <v>https://www.examplebusiness.com/resource-center/investment/inflation-and-your-portfolio</v>
      </c>
      <c r="B227" s="34">
        <v>200</v>
      </c>
      <c r="C227" s="34"/>
      <c r="D227" s="20" t="s">
        <v>2255</v>
      </c>
      <c r="E227" s="34" t="s">
        <v>691</v>
      </c>
      <c r="F227" s="34">
        <v>44</v>
      </c>
      <c r="G227" s="34">
        <v>366</v>
      </c>
      <c r="H227" s="20"/>
      <c r="I227" s="20"/>
      <c r="J227" s="34" t="s">
        <v>694</v>
      </c>
      <c r="K227" s="34">
        <v>0</v>
      </c>
      <c r="L227" s="34">
        <v>0</v>
      </c>
      <c r="M227" s="20"/>
      <c r="N227" s="102" t="s">
        <v>1088</v>
      </c>
      <c r="O227" s="20"/>
      <c r="P227" s="20" t="s">
        <v>843</v>
      </c>
      <c r="Q227" s="20" t="s">
        <v>845</v>
      </c>
      <c r="R227" s="20"/>
      <c r="S227" s="34">
        <v>101</v>
      </c>
    </row>
    <row r="228" spans="1:19" ht="16.5" x14ac:dyDescent="0.35">
      <c r="A228" s="104" t="str">
        <f>HYPERLINK("https://www.examplebusiness.com/resource-center/investment/investing-for-impact","https://www.examplebusiness.com/resource-center/investment/investing-for-impact")</f>
        <v>https://www.examplebusiness.com/resource-center/investment/investing-for-impact</v>
      </c>
      <c r="B228" s="34">
        <v>200</v>
      </c>
      <c r="C228" s="34"/>
      <c r="D228" s="20" t="s">
        <v>2256</v>
      </c>
      <c r="E228" s="34" t="s">
        <v>691</v>
      </c>
      <c r="F228" s="34">
        <v>36</v>
      </c>
      <c r="G228" s="34">
        <v>306</v>
      </c>
      <c r="H228" s="20"/>
      <c r="I228" s="20"/>
      <c r="J228" s="34" t="s">
        <v>694</v>
      </c>
      <c r="K228" s="34">
        <v>0</v>
      </c>
      <c r="L228" s="34">
        <v>0</v>
      </c>
      <c r="M228" s="20"/>
      <c r="N228" s="102" t="s">
        <v>1089</v>
      </c>
      <c r="O228" s="20"/>
      <c r="P228" s="20" t="s">
        <v>843</v>
      </c>
      <c r="Q228" s="20" t="s">
        <v>845</v>
      </c>
      <c r="R228" s="20"/>
      <c r="S228" s="34">
        <v>778</v>
      </c>
    </row>
    <row r="229" spans="1:19" ht="16.5" x14ac:dyDescent="0.35">
      <c r="A229" s="104" t="str">
        <f>HYPERLINK("https://www.examplebusiness.com/resource-center/investment/investing-with-your-heart","https://www.examplebusiness.com/resource-center/investment/investing-with-your-heart")</f>
        <v>https://www.examplebusiness.com/resource-center/investment/investing-with-your-heart</v>
      </c>
      <c r="B229" s="34">
        <v>200</v>
      </c>
      <c r="C229" s="34"/>
      <c r="D229" s="20" t="s">
        <v>2257</v>
      </c>
      <c r="E229" s="34" t="s">
        <v>691</v>
      </c>
      <c r="F229" s="34">
        <v>41</v>
      </c>
      <c r="G229" s="34">
        <v>353</v>
      </c>
      <c r="H229" s="20"/>
      <c r="I229" s="20"/>
      <c r="J229" s="34" t="s">
        <v>694</v>
      </c>
      <c r="K229" s="34">
        <v>0</v>
      </c>
      <c r="L229" s="34">
        <v>0</v>
      </c>
      <c r="M229" s="20"/>
      <c r="N229" s="102" t="s">
        <v>1090</v>
      </c>
      <c r="O229" s="20"/>
      <c r="P229" s="20" t="s">
        <v>1091</v>
      </c>
      <c r="Q229" s="20" t="s">
        <v>1092</v>
      </c>
      <c r="R229" s="20"/>
      <c r="S229" s="34">
        <v>567</v>
      </c>
    </row>
    <row r="230" spans="1:19" ht="16.5" x14ac:dyDescent="0.35">
      <c r="A230" s="104" t="str">
        <f>HYPERLINK("https://www.examplebusiness.com/resource-center/investment/investment-challenges-of-the-affluent-investor","https://www.examplebusiness.com/resource-center/investment/investment-challenges-of-the-affluent-investor")</f>
        <v>https://www.examplebusiness.com/resource-center/investment/investment-challenges-of-the-affluent-investor</v>
      </c>
      <c r="B230" s="34">
        <v>200</v>
      </c>
      <c r="C230" s="34"/>
      <c r="D230" s="20" t="s">
        <v>2258</v>
      </c>
      <c r="E230" s="34" t="s">
        <v>691</v>
      </c>
      <c r="F230" s="34">
        <v>62</v>
      </c>
      <c r="G230" s="34">
        <v>534</v>
      </c>
      <c r="H230" s="20"/>
      <c r="I230" s="20"/>
      <c r="J230" s="34" t="s">
        <v>694</v>
      </c>
      <c r="K230" s="34">
        <v>0</v>
      </c>
      <c r="L230" s="34">
        <v>0</v>
      </c>
      <c r="M230" s="20"/>
      <c r="N230" s="102" t="s">
        <v>1093</v>
      </c>
      <c r="O230" s="20"/>
      <c r="P230" s="20" t="s">
        <v>843</v>
      </c>
      <c r="Q230" s="20" t="s">
        <v>845</v>
      </c>
      <c r="R230" s="20"/>
      <c r="S230" s="34">
        <v>634</v>
      </c>
    </row>
    <row r="231" spans="1:19" ht="16.5" x14ac:dyDescent="0.35">
      <c r="A231" s="104" t="str">
        <f>HYPERLINK("https://www.examplebusiness.com/resource-center/investment/investment-risk-no-ones-heard-of","https://www.examplebusiness.com/resource-center/investment/investment-risk-no-ones-heard-of")</f>
        <v>https://www.examplebusiness.com/resource-center/investment/investment-risk-no-ones-heard-of</v>
      </c>
      <c r="B231" s="34">
        <v>200</v>
      </c>
      <c r="C231" s="34"/>
      <c r="D231" s="20" t="s">
        <v>2259</v>
      </c>
      <c r="E231" s="34" t="s">
        <v>691</v>
      </c>
      <c r="F231" s="34">
        <v>58</v>
      </c>
      <c r="G231" s="34">
        <v>531</v>
      </c>
      <c r="H231" s="20"/>
      <c r="I231" s="20"/>
      <c r="J231" s="34" t="s">
        <v>694</v>
      </c>
      <c r="K231" s="34">
        <v>0</v>
      </c>
      <c r="L231" s="34">
        <v>0</v>
      </c>
      <c r="M231" s="20"/>
      <c r="N231" s="102" t="s">
        <v>1094</v>
      </c>
      <c r="O231" s="20"/>
      <c r="P231" s="20" t="s">
        <v>1095</v>
      </c>
      <c r="Q231" s="20" t="s">
        <v>1096</v>
      </c>
      <c r="R231" s="20"/>
      <c r="S231" s="34">
        <v>595</v>
      </c>
    </row>
    <row r="232" spans="1:19" ht="16.5" x14ac:dyDescent="0.35">
      <c r="A232" s="104" t="str">
        <f>HYPERLINK("https://www.examplebusiness.com/resource-center/investment/investments-advisormercials","https://www.examplebusiness.com/resource-center/investment/investments-advisormercials")</f>
        <v>https://www.examplebusiness.com/resource-center/investment/investments-advisormercials</v>
      </c>
      <c r="B232" s="34">
        <v>200</v>
      </c>
      <c r="C232" s="34"/>
      <c r="D232" s="20" t="s">
        <v>2260</v>
      </c>
      <c r="E232" s="34" t="s">
        <v>691</v>
      </c>
      <c r="F232" s="34">
        <v>27</v>
      </c>
      <c r="G232" s="34">
        <v>238</v>
      </c>
      <c r="H232" s="20"/>
      <c r="I232" s="20"/>
      <c r="J232" s="34" t="s">
        <v>694</v>
      </c>
      <c r="K232" s="34">
        <v>0</v>
      </c>
      <c r="L232" s="34">
        <v>0</v>
      </c>
      <c r="M232" s="20"/>
      <c r="N232" s="102" t="s">
        <v>1097</v>
      </c>
      <c r="O232" s="20"/>
      <c r="P232" s="20" t="s">
        <v>843</v>
      </c>
      <c r="Q232" s="20" t="s">
        <v>845</v>
      </c>
      <c r="R232" s="20"/>
      <c r="S232" s="34">
        <v>103</v>
      </c>
    </row>
    <row r="233" spans="1:19" ht="16.5" x14ac:dyDescent="0.35">
      <c r="A233" s="104" t="str">
        <f>HYPERLINK("https://www.examplebusiness.com/resource-center/investment/it-was-the-best-of-times-it-was-the-worst-of-times","https://www.examplebusiness.com/resource-center/investment/it-was-the-best-of-times-it-was-the-worst-of-times")</f>
        <v>https://www.examplebusiness.com/resource-center/investment/it-was-the-best-of-times-it-was-the-worst-of-times</v>
      </c>
      <c r="B233" s="34">
        <v>200</v>
      </c>
      <c r="C233" s="34"/>
      <c r="D233" s="20" t="s">
        <v>2261</v>
      </c>
      <c r="E233" s="34" t="s">
        <v>691</v>
      </c>
      <c r="F233" s="34">
        <v>67</v>
      </c>
      <c r="G233" s="34">
        <v>596</v>
      </c>
      <c r="H233" s="20"/>
      <c r="I233" s="20"/>
      <c r="J233" s="34" t="s">
        <v>694</v>
      </c>
      <c r="K233" s="34">
        <v>0</v>
      </c>
      <c r="L233" s="34">
        <v>0</v>
      </c>
      <c r="M233" s="20"/>
      <c r="N233" s="102" t="s">
        <v>1098</v>
      </c>
      <c r="O233" s="20"/>
      <c r="P233" s="20" t="s">
        <v>843</v>
      </c>
      <c r="Q233" s="20" t="s">
        <v>845</v>
      </c>
      <c r="R233" s="20"/>
      <c r="S233" s="34">
        <v>108</v>
      </c>
    </row>
    <row r="234" spans="1:19" ht="16.5" x14ac:dyDescent="0.35">
      <c r="A234" s="104" t="str">
        <f>HYPERLINK("https://www.examplebusiness.com/resource-center/investment/jane-bond-decoding-diversification","https://www.examplebusiness.com/resource-center/investment/jane-bond-decoding-diversification")</f>
        <v>https://www.examplebusiness.com/resource-center/investment/jane-bond-decoding-diversification</v>
      </c>
      <c r="B234" s="34">
        <v>200</v>
      </c>
      <c r="C234" s="34"/>
      <c r="D234" s="20" t="s">
        <v>2262</v>
      </c>
      <c r="E234" s="34" t="s">
        <v>691</v>
      </c>
      <c r="F234" s="34">
        <v>51</v>
      </c>
      <c r="G234" s="34">
        <v>447</v>
      </c>
      <c r="H234" s="20"/>
      <c r="I234" s="20"/>
      <c r="J234" s="34" t="s">
        <v>694</v>
      </c>
      <c r="K234" s="34">
        <v>0</v>
      </c>
      <c r="L234" s="34">
        <v>0</v>
      </c>
      <c r="M234" s="20"/>
      <c r="N234" s="102" t="s">
        <v>1099</v>
      </c>
      <c r="O234" s="20"/>
      <c r="P234" s="20" t="s">
        <v>843</v>
      </c>
      <c r="Q234" s="20" t="s">
        <v>845</v>
      </c>
      <c r="R234" s="20"/>
      <c r="S234" s="34">
        <v>101</v>
      </c>
    </row>
    <row r="235" spans="1:19" ht="16.5" x14ac:dyDescent="0.35">
      <c r="A235" s="104" t="str">
        <f>HYPERLINK("https://www.examplebusiness.com/resource-center/investment/jane-bond-infiltrating-the-market","https://www.examplebusiness.com/resource-center/investment/jane-bond-infiltrating-the-market")</f>
        <v>https://www.examplebusiness.com/resource-center/investment/jane-bond-infiltrating-the-market</v>
      </c>
      <c r="B235" s="34">
        <v>200</v>
      </c>
      <c r="C235" s="34"/>
      <c r="D235" s="20" t="s">
        <v>2263</v>
      </c>
      <c r="E235" s="34" t="s">
        <v>691</v>
      </c>
      <c r="F235" s="34">
        <v>50</v>
      </c>
      <c r="G235" s="34">
        <v>424</v>
      </c>
      <c r="H235" s="20"/>
      <c r="I235" s="20"/>
      <c r="J235" s="34" t="s">
        <v>694</v>
      </c>
      <c r="K235" s="34">
        <v>0</v>
      </c>
      <c r="L235" s="34">
        <v>0</v>
      </c>
      <c r="M235" s="20"/>
      <c r="N235" s="102" t="s">
        <v>1100</v>
      </c>
      <c r="O235" s="20"/>
      <c r="P235" s="20" t="s">
        <v>843</v>
      </c>
      <c r="Q235" s="20" t="s">
        <v>845</v>
      </c>
      <c r="R235" s="20"/>
      <c r="S235" s="34">
        <v>109</v>
      </c>
    </row>
    <row r="236" spans="1:19" ht="16.5" x14ac:dyDescent="0.35">
      <c r="A236" s="104" t="str">
        <f>HYPERLINK("https://www.examplebusiness.com/resource-center/investment/jane-bond-scaling-the-ladder","https://www.examplebusiness.com/resource-center/investment/jane-bond-scaling-the-ladder")</f>
        <v>https://www.examplebusiness.com/resource-center/investment/jane-bond-scaling-the-ladder</v>
      </c>
      <c r="B236" s="34">
        <v>200</v>
      </c>
      <c r="C236" s="34"/>
      <c r="D236" s="20" t="s">
        <v>2264</v>
      </c>
      <c r="E236" s="34" t="s">
        <v>691</v>
      </c>
      <c r="F236" s="34">
        <v>45</v>
      </c>
      <c r="G236" s="34">
        <v>402</v>
      </c>
      <c r="H236" s="20"/>
      <c r="I236" s="20"/>
      <c r="J236" s="34" t="s">
        <v>694</v>
      </c>
      <c r="K236" s="34">
        <v>0</v>
      </c>
      <c r="L236" s="34">
        <v>0</v>
      </c>
      <c r="M236" s="20"/>
      <c r="N236" s="102" t="s">
        <v>1101</v>
      </c>
      <c r="O236" s="20"/>
      <c r="P236" s="20" t="s">
        <v>843</v>
      </c>
      <c r="Q236" s="20" t="s">
        <v>845</v>
      </c>
      <c r="R236" s="20"/>
      <c r="S236" s="34">
        <v>101</v>
      </c>
    </row>
    <row r="237" spans="1:19" ht="16.5" x14ac:dyDescent="0.35">
      <c r="A237" s="104" t="str">
        <f>HYPERLINK("https://www.examplebusiness.com/resource-center/investment/mutual-funds-vs-etfs","https://www.examplebusiness.com/resource-center/investment/mutual-funds-vs-etfs")</f>
        <v>https://www.examplebusiness.com/resource-center/investment/mutual-funds-vs-etfs</v>
      </c>
      <c r="B237" s="34">
        <v>200</v>
      </c>
      <c r="C237" s="34"/>
      <c r="D237" s="20" t="s">
        <v>2265</v>
      </c>
      <c r="E237" s="34" t="s">
        <v>691</v>
      </c>
      <c r="F237" s="34">
        <v>37</v>
      </c>
      <c r="G237" s="34">
        <v>334</v>
      </c>
      <c r="H237" s="20"/>
      <c r="I237" s="20"/>
      <c r="J237" s="34" t="s">
        <v>694</v>
      </c>
      <c r="K237" s="34">
        <v>0</v>
      </c>
      <c r="L237" s="34">
        <v>0</v>
      </c>
      <c r="M237" s="20"/>
      <c r="N237" s="102" t="s">
        <v>1102</v>
      </c>
      <c r="O237" s="20"/>
      <c r="P237" s="20" t="s">
        <v>1103</v>
      </c>
      <c r="Q237" s="20" t="s">
        <v>1104</v>
      </c>
      <c r="R237" s="20"/>
      <c r="S237" s="34">
        <v>782</v>
      </c>
    </row>
    <row r="238" spans="1:19" ht="16.5" x14ac:dyDescent="0.35">
      <c r="A238" s="104" t="str">
        <f>HYPERLINK("https://www.examplebusiness.com/resource-center/investment/pullbacks-corrections-and-bear-markets","https://www.examplebusiness.com/resource-center/investment/pullbacks-corrections-and-bear-markets")</f>
        <v>https://www.examplebusiness.com/resource-center/investment/pullbacks-corrections-and-bear-markets</v>
      </c>
      <c r="B238" s="34">
        <v>200</v>
      </c>
      <c r="C238" s="34"/>
      <c r="D238" s="20" t="s">
        <v>2266</v>
      </c>
      <c r="E238" s="34" t="s">
        <v>691</v>
      </c>
      <c r="F238" s="34">
        <v>56</v>
      </c>
      <c r="G238" s="34">
        <v>499</v>
      </c>
      <c r="H238" s="20"/>
      <c r="I238" s="20"/>
      <c r="J238" s="34" t="s">
        <v>694</v>
      </c>
      <c r="K238" s="34">
        <v>0</v>
      </c>
      <c r="L238" s="34">
        <v>0</v>
      </c>
      <c r="M238" s="20"/>
      <c r="N238" s="102" t="s">
        <v>1105</v>
      </c>
      <c r="O238" s="20"/>
      <c r="P238" s="20" t="s">
        <v>1106</v>
      </c>
      <c r="Q238" s="20" t="s">
        <v>1107</v>
      </c>
      <c r="R238" s="20"/>
      <c r="S238" s="34">
        <v>651</v>
      </c>
    </row>
    <row r="239" spans="1:19" ht="16.5" x14ac:dyDescent="0.35">
      <c r="A239" s="104" t="str">
        <f>HYPERLINK("https://www.examplebusiness.com/resource-center/investment/rebalancing-your-portfolio","https://www.examplebusiness.com/resource-center/investment/rebalancing-your-portfolio")</f>
        <v>https://www.examplebusiness.com/resource-center/investment/rebalancing-your-portfolio</v>
      </c>
      <c r="B239" s="34">
        <v>200</v>
      </c>
      <c r="C239" s="34"/>
      <c r="D239" s="20" t="s">
        <v>2267</v>
      </c>
      <c r="E239" s="34" t="s">
        <v>691</v>
      </c>
      <c r="F239" s="34">
        <v>42</v>
      </c>
      <c r="G239" s="34">
        <v>367</v>
      </c>
      <c r="H239" s="20"/>
      <c r="I239" s="20"/>
      <c r="J239" s="34" t="s">
        <v>694</v>
      </c>
      <c r="K239" s="34">
        <v>0</v>
      </c>
      <c r="L239" s="34">
        <v>0</v>
      </c>
      <c r="M239" s="20"/>
      <c r="N239" s="102" t="s">
        <v>1108</v>
      </c>
      <c r="O239" s="20"/>
      <c r="P239" s="20" t="s">
        <v>1109</v>
      </c>
      <c r="Q239" s="20" t="s">
        <v>1110</v>
      </c>
      <c r="R239" s="20"/>
      <c r="S239" s="34">
        <v>736</v>
      </c>
    </row>
    <row r="240" spans="1:19" ht="16.5" x14ac:dyDescent="0.35">
      <c r="A240" s="104" t="str">
        <f>HYPERLINK("https://www.examplebusiness.com/resource-center/investment/saving-for-college","https://www.examplebusiness.com/resource-center/investment/saving-for-college")</f>
        <v>https://www.examplebusiness.com/resource-center/investment/saving-for-college</v>
      </c>
      <c r="B240" s="34">
        <v>200</v>
      </c>
      <c r="C240" s="34"/>
      <c r="D240" s="20" t="s">
        <v>2268</v>
      </c>
      <c r="E240" s="34" t="s">
        <v>691</v>
      </c>
      <c r="F240" s="34">
        <v>34</v>
      </c>
      <c r="G240" s="34">
        <v>293</v>
      </c>
      <c r="H240" s="20"/>
      <c r="I240" s="20"/>
      <c r="J240" s="34" t="s">
        <v>694</v>
      </c>
      <c r="K240" s="34">
        <v>0</v>
      </c>
      <c r="L240" s="34">
        <v>0</v>
      </c>
      <c r="M240" s="20"/>
      <c r="N240" s="102" t="s">
        <v>1111</v>
      </c>
      <c r="O240" s="20"/>
      <c r="P240" s="20" t="s">
        <v>843</v>
      </c>
      <c r="Q240" s="20" t="s">
        <v>845</v>
      </c>
      <c r="R240" s="20"/>
      <c r="S240" s="34">
        <v>120</v>
      </c>
    </row>
    <row r="241" spans="1:19" ht="16.5" x14ac:dyDescent="0.35">
      <c r="A241" s="104" t="str">
        <f>HYPERLINK("https://www.examplebusiness.com/resource-center/investment/should-you-invest-in-exchange-traded-funds","https://www.examplebusiness.com/resource-center/investment/should-you-invest-in-exchange-traded-funds")</f>
        <v>https://www.examplebusiness.com/resource-center/investment/should-you-invest-in-exchange-traded-funds</v>
      </c>
      <c r="B241" s="34">
        <v>200</v>
      </c>
      <c r="C241" s="34"/>
      <c r="D241" s="20" t="s">
        <v>2269</v>
      </c>
      <c r="E241" s="34" t="s">
        <v>691</v>
      </c>
      <c r="F241" s="34">
        <v>59</v>
      </c>
      <c r="G241" s="34">
        <v>541</v>
      </c>
      <c r="H241" s="20"/>
      <c r="I241" s="20"/>
      <c r="J241" s="34" t="s">
        <v>694</v>
      </c>
      <c r="K241" s="34">
        <v>0</v>
      </c>
      <c r="L241" s="34">
        <v>0</v>
      </c>
      <c r="M241" s="20"/>
      <c r="N241" s="102" t="s">
        <v>1112</v>
      </c>
      <c r="O241" s="20"/>
      <c r="P241" s="20" t="s">
        <v>843</v>
      </c>
      <c r="Q241" s="20" t="s">
        <v>845</v>
      </c>
      <c r="R241" s="20"/>
      <c r="S241" s="34">
        <v>97</v>
      </c>
    </row>
    <row r="242" spans="1:19" ht="16.5" x14ac:dyDescent="0.35">
      <c r="A242" s="104" t="str">
        <f>HYPERLINK("https://www.examplebusiness.com/resource-center/investment/taxable-vs-tax-deferred-savings","https://www.examplebusiness.com/resource-center/investment/taxable-vs-tax-deferred-savings")</f>
        <v>https://www.examplebusiness.com/resource-center/investment/taxable-vs-tax-deferred-savings</v>
      </c>
      <c r="B242" s="34">
        <v>200</v>
      </c>
      <c r="C242" s="34"/>
      <c r="D242" s="20" t="s">
        <v>2270</v>
      </c>
      <c r="E242" s="34" t="s">
        <v>691</v>
      </c>
      <c r="F242" s="34">
        <v>48</v>
      </c>
      <c r="G242" s="34">
        <v>430</v>
      </c>
      <c r="H242" s="20"/>
      <c r="I242" s="20"/>
      <c r="J242" s="34" t="s">
        <v>694</v>
      </c>
      <c r="K242" s="34">
        <v>0</v>
      </c>
      <c r="L242" s="34">
        <v>0</v>
      </c>
      <c r="M242" s="20"/>
      <c r="N242" s="102" t="s">
        <v>1113</v>
      </c>
      <c r="O242" s="20"/>
      <c r="P242" s="20" t="s">
        <v>843</v>
      </c>
      <c r="Q242" s="20" t="s">
        <v>845</v>
      </c>
      <c r="R242" s="20"/>
      <c r="S242" s="34">
        <v>125</v>
      </c>
    </row>
    <row r="243" spans="1:19" ht="16.5" x14ac:dyDescent="0.35">
      <c r="A243" s="104" t="str">
        <f>HYPERLINK("https://www.examplebusiness.com/resource-center/investment/the-abcs-of-zero-coupon-bonds","https://www.examplebusiness.com/resource-center/investment/the-abcs-of-zero-coupon-bonds")</f>
        <v>https://www.examplebusiness.com/resource-center/investment/the-abcs-of-zero-coupon-bonds</v>
      </c>
      <c r="B243" s="34">
        <v>200</v>
      </c>
      <c r="C243" s="34"/>
      <c r="D243" s="20" t="s">
        <v>2271</v>
      </c>
      <c r="E243" s="34" t="s">
        <v>691</v>
      </c>
      <c r="F243" s="34">
        <v>45</v>
      </c>
      <c r="G243" s="34">
        <v>426</v>
      </c>
      <c r="H243" s="20"/>
      <c r="I243" s="20"/>
      <c r="J243" s="34" t="s">
        <v>694</v>
      </c>
      <c r="K243" s="34">
        <v>0</v>
      </c>
      <c r="L243" s="34">
        <v>0</v>
      </c>
      <c r="M243" s="20"/>
      <c r="N243" s="102" t="s">
        <v>1114</v>
      </c>
      <c r="O243" s="20"/>
      <c r="P243" s="20" t="s">
        <v>1115</v>
      </c>
      <c r="Q243" s="20" t="s">
        <v>843</v>
      </c>
      <c r="R243" s="20"/>
      <c r="S243" s="34">
        <v>671</v>
      </c>
    </row>
    <row r="244" spans="1:19" ht="16.5" x14ac:dyDescent="0.35">
      <c r="A244" s="104" t="str">
        <f>HYPERLINK("https://www.examplebusiness.com/resource-center/investment/the-anatomy-of-an-index","https://www.examplebusiness.com/resource-center/investment/the-anatomy-of-an-index")</f>
        <v>https://www.examplebusiness.com/resource-center/investment/the-anatomy-of-an-index</v>
      </c>
      <c r="B244" s="34">
        <v>200</v>
      </c>
      <c r="C244" s="34"/>
      <c r="D244" s="20" t="s">
        <v>2272</v>
      </c>
      <c r="E244" s="34" t="s">
        <v>691</v>
      </c>
      <c r="F244" s="34">
        <v>39</v>
      </c>
      <c r="G244" s="34">
        <v>352</v>
      </c>
      <c r="H244" s="20"/>
      <c r="I244" s="20"/>
      <c r="J244" s="34" t="s">
        <v>694</v>
      </c>
      <c r="K244" s="34">
        <v>0</v>
      </c>
      <c r="L244" s="34">
        <v>0</v>
      </c>
      <c r="M244" s="20"/>
      <c r="N244" s="102" t="s">
        <v>1116</v>
      </c>
      <c r="O244" s="20"/>
      <c r="P244" s="20" t="s">
        <v>1117</v>
      </c>
      <c r="Q244" s="20" t="s">
        <v>1118</v>
      </c>
      <c r="R244" s="20"/>
      <c r="S244" s="34">
        <v>766</v>
      </c>
    </row>
    <row r="245" spans="1:19" ht="16.5" x14ac:dyDescent="0.35">
      <c r="A245" s="104" t="str">
        <f>HYPERLINK("https://www.examplebusiness.com/resource-center/investment/the-business-cycle","https://www.examplebusiness.com/resource-center/investment/the-business-cycle")</f>
        <v>https://www.examplebusiness.com/resource-center/investment/the-business-cycle</v>
      </c>
      <c r="B245" s="34">
        <v>200</v>
      </c>
      <c r="C245" s="34"/>
      <c r="D245" s="20" t="s">
        <v>2239</v>
      </c>
      <c r="E245" s="34" t="s">
        <v>691</v>
      </c>
      <c r="F245" s="34">
        <v>34</v>
      </c>
      <c r="G245" s="34">
        <v>305</v>
      </c>
      <c r="H245" s="20"/>
      <c r="I245" s="20"/>
      <c r="J245" s="34" t="s">
        <v>694</v>
      </c>
      <c r="K245" s="34">
        <v>0</v>
      </c>
      <c r="L245" s="34">
        <v>0</v>
      </c>
      <c r="M245" s="20"/>
      <c r="N245" s="102" t="s">
        <v>1053</v>
      </c>
      <c r="O245" s="20"/>
      <c r="P245" s="20" t="s">
        <v>843</v>
      </c>
      <c r="Q245" s="20" t="s">
        <v>845</v>
      </c>
      <c r="R245" s="20"/>
      <c r="S245" s="34">
        <v>99</v>
      </c>
    </row>
    <row r="246" spans="1:19" ht="16.5" x14ac:dyDescent="0.35">
      <c r="A246" s="104" t="str">
        <f>HYPERLINK("https://www.examplebusiness.com/resource-center/investment/the-cycle-of-investing","https://www.examplebusiness.com/resource-center/investment/the-cycle-of-investing")</f>
        <v>https://www.examplebusiness.com/resource-center/investment/the-cycle-of-investing</v>
      </c>
      <c r="B246" s="34">
        <v>200</v>
      </c>
      <c r="C246" s="34"/>
      <c r="D246" s="20" t="s">
        <v>2273</v>
      </c>
      <c r="E246" s="34" t="s">
        <v>691</v>
      </c>
      <c r="F246" s="34">
        <v>38</v>
      </c>
      <c r="G246" s="34">
        <v>327</v>
      </c>
      <c r="H246" s="20"/>
      <c r="I246" s="20"/>
      <c r="J246" s="34" t="s">
        <v>694</v>
      </c>
      <c r="K246" s="34">
        <v>0</v>
      </c>
      <c r="L246" s="34">
        <v>0</v>
      </c>
      <c r="M246" s="20"/>
      <c r="N246" s="102" t="s">
        <v>1119</v>
      </c>
      <c r="O246" s="20"/>
      <c r="P246" s="20" t="s">
        <v>843</v>
      </c>
      <c r="Q246" s="20" t="s">
        <v>845</v>
      </c>
      <c r="R246" s="20"/>
      <c r="S246" s="34">
        <v>90</v>
      </c>
    </row>
    <row r="247" spans="1:19" ht="16.5" x14ac:dyDescent="0.35">
      <c r="A247" s="104" t="str">
        <f>HYPERLINK("https://www.examplebusiness.com/resource-center/investment/the-economic-report-of-the-president","https://www.examplebusiness.com/resource-center/investment/the-economic-report-of-the-president")</f>
        <v>https://www.examplebusiness.com/resource-center/investment/the-economic-report-of-the-president</v>
      </c>
      <c r="B247" s="34">
        <v>200</v>
      </c>
      <c r="C247" s="34"/>
      <c r="D247" s="20" t="s">
        <v>2274</v>
      </c>
      <c r="E247" s="34" t="s">
        <v>691</v>
      </c>
      <c r="F247" s="34">
        <v>70</v>
      </c>
      <c r="G247" s="34">
        <v>637</v>
      </c>
      <c r="H247" s="20"/>
      <c r="I247" s="20"/>
      <c r="J247" s="34" t="s">
        <v>694</v>
      </c>
      <c r="K247" s="34">
        <v>0</v>
      </c>
      <c r="L247" s="34">
        <v>0</v>
      </c>
      <c r="M247" s="20"/>
      <c r="N247" s="102" t="s">
        <v>1120</v>
      </c>
      <c r="O247" s="20"/>
      <c r="P247" s="20" t="s">
        <v>843</v>
      </c>
      <c r="Q247" s="20" t="s">
        <v>845</v>
      </c>
      <c r="R247" s="20"/>
      <c r="S247" s="34">
        <v>564</v>
      </c>
    </row>
    <row r="248" spans="1:19" ht="16.5" x14ac:dyDescent="0.35">
      <c r="A248" s="104" t="str">
        <f>HYPERLINK("https://www.examplebusiness.com/resource-center/investment/the-fed-and-how-it-got-that-way","https://www.examplebusiness.com/resource-center/investment/the-fed-and-how-it-got-that-way")</f>
        <v>https://www.examplebusiness.com/resource-center/investment/the-fed-and-how-it-got-that-way</v>
      </c>
      <c r="B248" s="34">
        <v>200</v>
      </c>
      <c r="C248" s="34"/>
      <c r="D248" s="20" t="s">
        <v>2275</v>
      </c>
      <c r="E248" s="34" t="s">
        <v>691</v>
      </c>
      <c r="F248" s="34">
        <v>47</v>
      </c>
      <c r="G248" s="34">
        <v>437</v>
      </c>
      <c r="H248" s="20"/>
      <c r="I248" s="20"/>
      <c r="J248" s="34" t="s">
        <v>694</v>
      </c>
      <c r="K248" s="34">
        <v>0</v>
      </c>
      <c r="L248" s="34">
        <v>0</v>
      </c>
      <c r="M248" s="20"/>
      <c r="N248" s="102" t="s">
        <v>1121</v>
      </c>
      <c r="O248" s="20"/>
      <c r="P248" s="20" t="s">
        <v>843</v>
      </c>
      <c r="Q248" s="20" t="s">
        <v>845</v>
      </c>
      <c r="R248" s="20"/>
      <c r="S248" s="34">
        <v>106</v>
      </c>
    </row>
    <row r="249" spans="1:19" ht="16.5" x14ac:dyDescent="0.35">
      <c r="A249" s="104" t="str">
        <f>HYPERLINK("https://www.examplebusiness.com/resource-center/investment/the-great-debate-continues-active-vs-passive","https://www.examplebusiness.com/resource-center/investment/the-great-debate-continues-active-vs-passive")</f>
        <v>https://www.examplebusiness.com/resource-center/investment/the-great-debate-continues-active-vs-passive</v>
      </c>
      <c r="B249" s="34">
        <v>200</v>
      </c>
      <c r="C249" s="34"/>
      <c r="D249" s="20" t="s">
        <v>2276</v>
      </c>
      <c r="E249" s="34" t="s">
        <v>691</v>
      </c>
      <c r="F249" s="34">
        <v>62</v>
      </c>
      <c r="G249" s="34">
        <v>555</v>
      </c>
      <c r="H249" s="20"/>
      <c r="I249" s="20"/>
      <c r="J249" s="34" t="s">
        <v>694</v>
      </c>
      <c r="K249" s="34">
        <v>0</v>
      </c>
      <c r="L249" s="34">
        <v>0</v>
      </c>
      <c r="M249" s="20"/>
      <c r="N249" s="102" t="s">
        <v>1122</v>
      </c>
      <c r="O249" s="20"/>
      <c r="P249" s="20" t="s">
        <v>1123</v>
      </c>
      <c r="Q249" s="20" t="s">
        <v>1124</v>
      </c>
      <c r="R249" s="20"/>
      <c r="S249" s="34">
        <v>645</v>
      </c>
    </row>
    <row r="250" spans="1:19" ht="16.5" x14ac:dyDescent="0.35">
      <c r="A250" s="104" t="str">
        <f>HYPERLINK("https://www.examplebusiness.com/resource-center/investment/the-ivory-tower-changes-wall-street","https://www.examplebusiness.com/resource-center/investment/the-ivory-tower-changes-wall-street")</f>
        <v>https://www.examplebusiness.com/resource-center/investment/the-ivory-tower-changes-wall-street</v>
      </c>
      <c r="B250" s="34">
        <v>200</v>
      </c>
      <c r="C250" s="34"/>
      <c r="D250" s="20" t="s">
        <v>2277</v>
      </c>
      <c r="E250" s="34" t="s">
        <v>691</v>
      </c>
      <c r="F250" s="34">
        <v>51</v>
      </c>
      <c r="G250" s="34">
        <v>464</v>
      </c>
      <c r="H250" s="20"/>
      <c r="I250" s="20"/>
      <c r="J250" s="34" t="s">
        <v>694</v>
      </c>
      <c r="K250" s="34">
        <v>0</v>
      </c>
      <c r="L250" s="34">
        <v>0</v>
      </c>
      <c r="M250" s="20"/>
      <c r="N250" s="102" t="s">
        <v>1125</v>
      </c>
      <c r="O250" s="20"/>
      <c r="P250" s="20" t="s">
        <v>1126</v>
      </c>
      <c r="Q250" s="20" t="s">
        <v>1127</v>
      </c>
      <c r="R250" s="20"/>
      <c r="S250" s="34">
        <v>737</v>
      </c>
    </row>
    <row r="251" spans="1:19" ht="16.5" x14ac:dyDescent="0.35">
      <c r="A251" s="104" t="str">
        <f>HYPERLINK("https://www.examplebusiness.com/resource-center/investment/the-junk-drawer-approach-to-investing","https://www.examplebusiness.com/resource-center/investment/the-junk-drawer-approach-to-investing")</f>
        <v>https://www.examplebusiness.com/resource-center/investment/the-junk-drawer-approach-to-investing</v>
      </c>
      <c r="B251" s="34">
        <v>200</v>
      </c>
      <c r="C251" s="34"/>
      <c r="D251" s="20" t="s">
        <v>2278</v>
      </c>
      <c r="E251" s="34" t="s">
        <v>691</v>
      </c>
      <c r="F251" s="34">
        <v>53</v>
      </c>
      <c r="G251" s="34">
        <v>479</v>
      </c>
      <c r="H251" s="20"/>
      <c r="I251" s="20"/>
      <c r="J251" s="34" t="s">
        <v>694</v>
      </c>
      <c r="K251" s="34">
        <v>0</v>
      </c>
      <c r="L251" s="34">
        <v>0</v>
      </c>
      <c r="M251" s="20"/>
      <c r="N251" s="102" t="s">
        <v>1128</v>
      </c>
      <c r="O251" s="20"/>
      <c r="P251" s="20" t="s">
        <v>843</v>
      </c>
      <c r="Q251" s="20" t="s">
        <v>845</v>
      </c>
      <c r="R251" s="20"/>
      <c r="S251" s="34">
        <v>103</v>
      </c>
    </row>
    <row r="252" spans="1:19" ht="16.5" x14ac:dyDescent="0.35">
      <c r="A252" s="104" t="str">
        <f>HYPERLINK("https://www.examplebusiness.com/resource-center/investment/the-real-cost-of-a-vacation-home","https://www.examplebusiness.com/resource-center/investment/the-real-cost-of-a-vacation-home")</f>
        <v>https://www.examplebusiness.com/resource-center/investment/the-real-cost-of-a-vacation-home</v>
      </c>
      <c r="B252" s="34">
        <v>200</v>
      </c>
      <c r="C252" s="34"/>
      <c r="D252" s="20" t="s">
        <v>2279</v>
      </c>
      <c r="E252" s="34" t="s">
        <v>691</v>
      </c>
      <c r="F252" s="34">
        <v>48</v>
      </c>
      <c r="G252" s="34">
        <v>438</v>
      </c>
      <c r="H252" s="20"/>
      <c r="I252" s="20"/>
      <c r="J252" s="34" t="s">
        <v>694</v>
      </c>
      <c r="K252" s="34">
        <v>0</v>
      </c>
      <c r="L252" s="34">
        <v>0</v>
      </c>
      <c r="M252" s="20"/>
      <c r="N252" s="102" t="s">
        <v>1129</v>
      </c>
      <c r="O252" s="20"/>
      <c r="P252" s="20" t="s">
        <v>843</v>
      </c>
      <c r="Q252" s="20" t="s">
        <v>845</v>
      </c>
      <c r="R252" s="20"/>
      <c r="S252" s="34">
        <v>106</v>
      </c>
    </row>
    <row r="253" spans="1:19" ht="16.5" x14ac:dyDescent="0.35">
      <c r="A253" s="104" t="str">
        <f>HYPERLINK("https://www.examplebusiness.com/resource-center/investment/the-return-of-market-volatility","https://www.examplebusiness.com/resource-center/investment/the-return-of-market-volatility")</f>
        <v>https://www.examplebusiness.com/resource-center/investment/the-return-of-market-volatility</v>
      </c>
      <c r="B253" s="34">
        <v>200</v>
      </c>
      <c r="C253" s="34"/>
      <c r="D253" s="20" t="s">
        <v>2280</v>
      </c>
      <c r="E253" s="34" t="s">
        <v>691</v>
      </c>
      <c r="F253" s="34">
        <v>61</v>
      </c>
      <c r="G253" s="34">
        <v>524</v>
      </c>
      <c r="H253" s="20"/>
      <c r="I253" s="20"/>
      <c r="J253" s="34" t="s">
        <v>694</v>
      </c>
      <c r="K253" s="34">
        <v>0</v>
      </c>
      <c r="L253" s="34">
        <v>0</v>
      </c>
      <c r="M253" s="20"/>
      <c r="N253" s="102" t="s">
        <v>1130</v>
      </c>
      <c r="O253" s="20"/>
      <c r="P253" s="20" t="s">
        <v>1131</v>
      </c>
      <c r="Q253" s="20" t="s">
        <v>1132</v>
      </c>
      <c r="R253" s="20"/>
      <c r="S253" s="34">
        <v>1043</v>
      </c>
    </row>
    <row r="254" spans="1:19" ht="16.5" x14ac:dyDescent="0.35">
      <c r="A254" s="104" t="str">
        <f>HYPERLINK("https://www.examplebusiness.com/resource-center/investment/the-rule-of-72","https://www.examplebusiness.com/resource-center/investment/the-rule-of-72")</f>
        <v>https://www.examplebusiness.com/resource-center/investment/the-rule-of-72</v>
      </c>
      <c r="B254" s="34">
        <v>200</v>
      </c>
      <c r="C254" s="34"/>
      <c r="D254" s="20" t="s">
        <v>2281</v>
      </c>
      <c r="E254" s="34" t="s">
        <v>691</v>
      </c>
      <c r="F254" s="34">
        <v>30</v>
      </c>
      <c r="G254" s="34">
        <v>262</v>
      </c>
      <c r="H254" s="20"/>
      <c r="I254" s="20"/>
      <c r="J254" s="34" t="s">
        <v>694</v>
      </c>
      <c r="K254" s="34">
        <v>0</v>
      </c>
      <c r="L254" s="34">
        <v>0</v>
      </c>
      <c r="M254" s="20"/>
      <c r="N254" s="102" t="s">
        <v>1133</v>
      </c>
      <c r="O254" s="20"/>
      <c r="P254" s="20" t="s">
        <v>843</v>
      </c>
      <c r="Q254" s="20" t="s">
        <v>845</v>
      </c>
      <c r="R254" s="20"/>
      <c r="S254" s="34">
        <v>111</v>
      </c>
    </row>
    <row r="255" spans="1:19" ht="16.5" x14ac:dyDescent="0.35">
      <c r="A255" s="104" t="str">
        <f>HYPERLINK("https://www.examplebusiness.com/resource-center/investment/the-utility-of-sector-investing","https://www.examplebusiness.com/resource-center/investment/the-utility-of-sector-investing")</f>
        <v>https://www.examplebusiness.com/resource-center/investment/the-utility-of-sector-investing</v>
      </c>
      <c r="B255" s="34">
        <v>200</v>
      </c>
      <c r="C255" s="34"/>
      <c r="D255" s="20" t="s">
        <v>2282</v>
      </c>
      <c r="E255" s="34" t="s">
        <v>691</v>
      </c>
      <c r="F255" s="34">
        <v>47</v>
      </c>
      <c r="G255" s="34">
        <v>389</v>
      </c>
      <c r="H255" s="20"/>
      <c r="I255" s="20"/>
      <c r="J255" s="34" t="s">
        <v>694</v>
      </c>
      <c r="K255" s="34">
        <v>0</v>
      </c>
      <c r="L255" s="34">
        <v>0</v>
      </c>
      <c r="M255" s="20"/>
      <c r="N255" s="102" t="s">
        <v>1134</v>
      </c>
      <c r="O255" s="20"/>
      <c r="P255" s="20" t="s">
        <v>1135</v>
      </c>
      <c r="Q255" s="20" t="s">
        <v>843</v>
      </c>
      <c r="R255" s="20"/>
      <c r="S255" s="34">
        <v>658</v>
      </c>
    </row>
    <row r="256" spans="1:19" ht="16.5" x14ac:dyDescent="0.35">
      <c r="A256" s="104" t="str">
        <f>HYPERLINK("https://www.examplebusiness.com/resource-center/investment/tips-for-inflation","https://www.examplebusiness.com/resource-center/investment/tips-for-inflation")</f>
        <v>https://www.examplebusiness.com/resource-center/investment/tips-for-inflation</v>
      </c>
      <c r="B256" s="34">
        <v>200</v>
      </c>
      <c r="C256" s="34"/>
      <c r="D256" s="20" t="s">
        <v>2283</v>
      </c>
      <c r="E256" s="34" t="s">
        <v>691</v>
      </c>
      <c r="F256" s="34">
        <v>34</v>
      </c>
      <c r="G256" s="34">
        <v>281</v>
      </c>
      <c r="H256" s="20"/>
      <c r="I256" s="20"/>
      <c r="J256" s="34" t="s">
        <v>694</v>
      </c>
      <c r="K256" s="34">
        <v>0</v>
      </c>
      <c r="L256" s="34">
        <v>0</v>
      </c>
      <c r="M256" s="20"/>
      <c r="N256" s="102" t="s">
        <v>1136</v>
      </c>
      <c r="O256" s="20"/>
      <c r="P256" s="20" t="s">
        <v>1137</v>
      </c>
      <c r="Q256" s="20" t="s">
        <v>1138</v>
      </c>
      <c r="R256" s="20"/>
      <c r="S256" s="34">
        <v>603</v>
      </c>
    </row>
    <row r="257" spans="1:19" ht="16.5" x14ac:dyDescent="0.35">
      <c r="A257" s="104" t="str">
        <f>HYPERLINK("https://www.examplebusiness.com/resource-center/investment/types-of-stock-market-analysis","https://www.examplebusiness.com/resource-center/investment/types-of-stock-market-analysis")</f>
        <v>https://www.examplebusiness.com/resource-center/investment/types-of-stock-market-analysis</v>
      </c>
      <c r="B257" s="34">
        <v>200</v>
      </c>
      <c r="C257" s="34"/>
      <c r="D257" s="20" t="s">
        <v>2284</v>
      </c>
      <c r="E257" s="34" t="s">
        <v>691</v>
      </c>
      <c r="F257" s="34">
        <v>46</v>
      </c>
      <c r="G257" s="34">
        <v>412</v>
      </c>
      <c r="H257" s="20"/>
      <c r="I257" s="20"/>
      <c r="J257" s="34" t="s">
        <v>694</v>
      </c>
      <c r="K257" s="34">
        <v>0</v>
      </c>
      <c r="L257" s="34">
        <v>0</v>
      </c>
      <c r="M257" s="20"/>
      <c r="N257" s="102" t="s">
        <v>1139</v>
      </c>
      <c r="O257" s="20"/>
      <c r="P257" s="20" t="s">
        <v>1140</v>
      </c>
      <c r="Q257" s="20" t="s">
        <v>1141</v>
      </c>
      <c r="R257" s="20"/>
      <c r="S257" s="34">
        <v>698</v>
      </c>
    </row>
    <row r="258" spans="1:19" ht="16.5" x14ac:dyDescent="0.35">
      <c r="A258" s="104" t="str">
        <f>HYPERLINK("https://www.examplebusiness.com/resource-center/investment/value-vs-growth-investing","https://www.examplebusiness.com/resource-center/investment/value-vs-growth-investing")</f>
        <v>https://www.examplebusiness.com/resource-center/investment/value-vs-growth-investing</v>
      </c>
      <c r="B258" s="34">
        <v>200</v>
      </c>
      <c r="C258" s="34"/>
      <c r="D258" s="20" t="s">
        <v>2285</v>
      </c>
      <c r="E258" s="34" t="s">
        <v>691</v>
      </c>
      <c r="F258" s="34">
        <v>42</v>
      </c>
      <c r="G258" s="34">
        <v>367</v>
      </c>
      <c r="H258" s="20"/>
      <c r="I258" s="20"/>
      <c r="J258" s="34" t="s">
        <v>694</v>
      </c>
      <c r="K258" s="34">
        <v>0</v>
      </c>
      <c r="L258" s="34">
        <v>0</v>
      </c>
      <c r="M258" s="20"/>
      <c r="N258" s="102" t="s">
        <v>1142</v>
      </c>
      <c r="O258" s="20"/>
      <c r="P258" s="20" t="s">
        <v>1143</v>
      </c>
      <c r="Q258" s="20" t="s">
        <v>1144</v>
      </c>
      <c r="R258" s="20"/>
      <c r="S258" s="34">
        <v>665</v>
      </c>
    </row>
    <row r="259" spans="1:19" ht="16.5" x14ac:dyDescent="0.35">
      <c r="A259" s="104" t="str">
        <f>HYPERLINK("https://www.examplebusiness.com/resource-center/investment/what-can-a-million-dollars-buy-you","https://www.examplebusiness.com/resource-center/investment/what-can-a-million-dollars-buy-you")</f>
        <v>https://www.examplebusiness.com/resource-center/investment/what-can-a-million-dollars-buy-you</v>
      </c>
      <c r="B259" s="34">
        <v>200</v>
      </c>
      <c r="C259" s="34"/>
      <c r="D259" s="20" t="s">
        <v>1145</v>
      </c>
      <c r="E259" s="34" t="s">
        <v>691</v>
      </c>
      <c r="F259" s="34">
        <v>29</v>
      </c>
      <c r="G259" s="34">
        <v>272</v>
      </c>
      <c r="H259" s="20"/>
      <c r="I259" s="20"/>
      <c r="J259" s="34" t="s">
        <v>694</v>
      </c>
      <c r="K259" s="34">
        <v>0</v>
      </c>
      <c r="L259" s="34">
        <v>0</v>
      </c>
      <c r="M259" s="20"/>
      <c r="N259" s="102" t="s">
        <v>1146</v>
      </c>
      <c r="O259" s="20"/>
      <c r="P259" s="20" t="s">
        <v>843</v>
      </c>
      <c r="Q259" s="20" t="s">
        <v>845</v>
      </c>
      <c r="R259" s="20"/>
      <c r="S259" s="34">
        <v>99</v>
      </c>
    </row>
    <row r="260" spans="1:19" ht="16.5" x14ac:dyDescent="0.35">
      <c r="A260" s="104" t="str">
        <f>HYPERLINK("https://www.examplebusiness.com/resource-center/investment/what-is-my-risk-tolerance","https://www.examplebusiness.com/resource-center/investment/what-is-my-risk-tolerance")</f>
        <v>https://www.examplebusiness.com/resource-center/investment/what-is-my-risk-tolerance</v>
      </c>
      <c r="B260" s="34">
        <v>200</v>
      </c>
      <c r="C260" s="34"/>
      <c r="D260" s="20" t="s">
        <v>2286</v>
      </c>
      <c r="E260" s="34" t="s">
        <v>691</v>
      </c>
      <c r="F260" s="34">
        <v>42</v>
      </c>
      <c r="G260" s="34">
        <v>382</v>
      </c>
      <c r="H260" s="20"/>
      <c r="I260" s="20"/>
      <c r="J260" s="34" t="s">
        <v>694</v>
      </c>
      <c r="K260" s="34">
        <v>0</v>
      </c>
      <c r="L260" s="34">
        <v>0</v>
      </c>
      <c r="M260" s="20"/>
      <c r="N260" s="102" t="s">
        <v>1147</v>
      </c>
      <c r="O260" s="20"/>
      <c r="P260" s="20" t="s">
        <v>843</v>
      </c>
      <c r="Q260" s="20" t="s">
        <v>845</v>
      </c>
      <c r="R260" s="20"/>
      <c r="S260" s="34">
        <v>122</v>
      </c>
    </row>
    <row r="261" spans="1:19" ht="16.5" x14ac:dyDescent="0.35">
      <c r="A261" s="104" t="str">
        <f>HYPERLINK("https://www.examplebusiness.com/resource-center/investment/what-is-the-dividend-yield","https://www.examplebusiness.com/resource-center/investment/what-is-the-dividend-yield")</f>
        <v>https://www.examplebusiness.com/resource-center/investment/what-is-the-dividend-yield</v>
      </c>
      <c r="B261" s="34">
        <v>200</v>
      </c>
      <c r="C261" s="34"/>
      <c r="D261" s="20" t="s">
        <v>2287</v>
      </c>
      <c r="E261" s="34" t="s">
        <v>691</v>
      </c>
      <c r="F261" s="34">
        <v>43</v>
      </c>
      <c r="G261" s="34">
        <v>375</v>
      </c>
      <c r="H261" s="20"/>
      <c r="I261" s="20"/>
      <c r="J261" s="34" t="s">
        <v>694</v>
      </c>
      <c r="K261" s="34">
        <v>0</v>
      </c>
      <c r="L261" s="34">
        <v>0</v>
      </c>
      <c r="M261" s="20"/>
      <c r="N261" s="102" t="s">
        <v>1148</v>
      </c>
      <c r="O261" s="20"/>
      <c r="P261" s="20" t="s">
        <v>843</v>
      </c>
      <c r="Q261" s="20" t="s">
        <v>845</v>
      </c>
      <c r="R261" s="20"/>
      <c r="S261" s="34">
        <v>122</v>
      </c>
    </row>
    <row r="262" spans="1:19" ht="16.5" x14ac:dyDescent="0.35">
      <c r="A262" s="104" t="str">
        <f>HYPERLINK("https://www.examplebusiness.com/resource-center/investment/what-smart-investors-know","https://www.examplebusiness.com/resource-center/investment/what-smart-investors-know")</f>
        <v>https://www.examplebusiness.com/resource-center/investment/what-smart-investors-know</v>
      </c>
      <c r="B262" s="34">
        <v>200</v>
      </c>
      <c r="C262" s="34"/>
      <c r="D262" s="20" t="s">
        <v>2288</v>
      </c>
      <c r="E262" s="34" t="s">
        <v>691</v>
      </c>
      <c r="F262" s="34">
        <v>41</v>
      </c>
      <c r="G262" s="34">
        <v>379</v>
      </c>
      <c r="H262" s="20"/>
      <c r="I262" s="20"/>
      <c r="J262" s="34" t="s">
        <v>694</v>
      </c>
      <c r="K262" s="34">
        <v>0</v>
      </c>
      <c r="L262" s="34">
        <v>0</v>
      </c>
      <c r="M262" s="20"/>
      <c r="N262" s="102" t="s">
        <v>1149</v>
      </c>
      <c r="O262" s="20"/>
      <c r="P262" s="20" t="s">
        <v>843</v>
      </c>
      <c r="Q262" s="20" t="s">
        <v>845</v>
      </c>
      <c r="R262" s="20"/>
      <c r="S262" s="34">
        <v>92</v>
      </c>
    </row>
    <row r="263" spans="1:19" ht="16.5" x14ac:dyDescent="0.35">
      <c r="A263" s="104" t="str">
        <f>HYPERLINK("https://www.examplebusiness.com/resource-center/investment/whats-your-investment-iq","https://www.examplebusiness.com/resource-center/investment/whats-your-investment-iq")</f>
        <v>https://www.examplebusiness.com/resource-center/investment/whats-your-investment-iq</v>
      </c>
      <c r="B263" s="34">
        <v>200</v>
      </c>
      <c r="C263" s="34"/>
      <c r="D263" s="20" t="s">
        <v>2289</v>
      </c>
      <c r="E263" s="34" t="s">
        <v>691</v>
      </c>
      <c r="F263" s="34">
        <v>42</v>
      </c>
      <c r="G263" s="34">
        <v>381</v>
      </c>
      <c r="H263" s="20"/>
      <c r="I263" s="20"/>
      <c r="J263" s="34" t="s">
        <v>694</v>
      </c>
      <c r="K263" s="34">
        <v>0</v>
      </c>
      <c r="L263" s="34">
        <v>0</v>
      </c>
      <c r="M263" s="20"/>
      <c r="N263" s="102" t="s">
        <v>1150</v>
      </c>
      <c r="O263" s="20"/>
      <c r="P263" s="20" t="s">
        <v>843</v>
      </c>
      <c r="Q263" s="20" t="s">
        <v>845</v>
      </c>
      <c r="R263" s="20"/>
      <c r="S263" s="34">
        <v>85</v>
      </c>
    </row>
    <row r="264" spans="1:19" ht="16.5" x14ac:dyDescent="0.35">
      <c r="A264" s="104" t="str">
        <f>HYPERLINK("https://www.examplebusiness.com/resource-center/investment/when-markets-react","https://www.examplebusiness.com/resource-center/investment/when-markets-react")</f>
        <v>https://www.examplebusiness.com/resource-center/investment/when-markets-react</v>
      </c>
      <c r="B264" s="34">
        <v>200</v>
      </c>
      <c r="C264" s="34"/>
      <c r="D264" s="20" t="s">
        <v>2290</v>
      </c>
      <c r="E264" s="34" t="s">
        <v>691</v>
      </c>
      <c r="F264" s="34">
        <v>34</v>
      </c>
      <c r="G264" s="34">
        <v>319</v>
      </c>
      <c r="H264" s="20"/>
      <c r="I264" s="20"/>
      <c r="J264" s="34" t="s">
        <v>694</v>
      </c>
      <c r="K264" s="34">
        <v>0</v>
      </c>
      <c r="L264" s="34">
        <v>0</v>
      </c>
      <c r="M264" s="20"/>
      <c r="N264" s="102" t="s">
        <v>1151</v>
      </c>
      <c r="O264" s="20"/>
      <c r="P264" s="20" t="s">
        <v>843</v>
      </c>
      <c r="Q264" s="20" t="s">
        <v>845</v>
      </c>
      <c r="R264" s="20"/>
      <c r="S264" s="34">
        <v>99</v>
      </c>
    </row>
    <row r="265" spans="1:19" ht="16.5" x14ac:dyDescent="0.35">
      <c r="A265" s="104" t="str">
        <f>HYPERLINK("https://www.examplebusiness.com/resource-center/investment/where-is-the-market-headed","https://www.examplebusiness.com/resource-center/investment/where-is-the-market-headed")</f>
        <v>https://www.examplebusiness.com/resource-center/investment/where-is-the-market-headed</v>
      </c>
      <c r="B265" s="34">
        <v>200</v>
      </c>
      <c r="C265" s="34"/>
      <c r="D265" s="20" t="s">
        <v>2291</v>
      </c>
      <c r="E265" s="34" t="s">
        <v>691</v>
      </c>
      <c r="F265" s="34">
        <v>43</v>
      </c>
      <c r="G265" s="34">
        <v>399</v>
      </c>
      <c r="H265" s="20"/>
      <c r="I265" s="20"/>
      <c r="J265" s="34" t="s">
        <v>694</v>
      </c>
      <c r="K265" s="34">
        <v>0</v>
      </c>
      <c r="L265" s="34">
        <v>0</v>
      </c>
      <c r="M265" s="20"/>
      <c r="N265" s="102" t="s">
        <v>1152</v>
      </c>
      <c r="O265" s="20"/>
      <c r="P265" s="20" t="s">
        <v>843</v>
      </c>
      <c r="Q265" s="20" t="s">
        <v>845</v>
      </c>
      <c r="R265" s="20"/>
      <c r="S265" s="34">
        <v>104</v>
      </c>
    </row>
    <row r="266" spans="1:19" ht="16.5" x14ac:dyDescent="0.35">
      <c r="A266" s="104" t="str">
        <f>HYPERLINK("https://www.examplebusiness.com/resource-center/investment/you-would-rather-be","https://www.examplebusiness.com/resource-center/investment/you-would-rather-be")</f>
        <v>https://www.examplebusiness.com/resource-center/investment/you-would-rather-be</v>
      </c>
      <c r="B266" s="34">
        <v>200</v>
      </c>
      <c r="C266" s="34"/>
      <c r="D266" s="20" t="s">
        <v>2292</v>
      </c>
      <c r="E266" s="34" t="s">
        <v>691</v>
      </c>
      <c r="F266" s="34">
        <v>38</v>
      </c>
      <c r="G266" s="34">
        <v>342</v>
      </c>
      <c r="H266" s="20"/>
      <c r="I266" s="20"/>
      <c r="J266" s="34" t="s">
        <v>694</v>
      </c>
      <c r="K266" s="34">
        <v>0</v>
      </c>
      <c r="L266" s="34">
        <v>0</v>
      </c>
      <c r="M266" s="20"/>
      <c r="N266" s="102" t="s">
        <v>1153</v>
      </c>
      <c r="O266" s="20"/>
      <c r="P266" s="20" t="s">
        <v>843</v>
      </c>
      <c r="Q266" s="20" t="s">
        <v>845</v>
      </c>
      <c r="R266" s="20"/>
      <c r="S266" s="34">
        <v>107</v>
      </c>
    </row>
    <row r="267" spans="1:19" ht="16.5" x14ac:dyDescent="0.35">
      <c r="A267" s="104" t="str">
        <f>HYPERLINK("https://www.examplebusiness.com/resource-center/lifestyle","https://www.examplebusiness.com/resource-center/lifestyle")</f>
        <v>https://www.examplebusiness.com/resource-center/lifestyle</v>
      </c>
      <c r="B267" s="34">
        <v>200</v>
      </c>
      <c r="C267" s="34"/>
      <c r="D267" s="20" t="s">
        <v>2293</v>
      </c>
      <c r="E267" s="34" t="s">
        <v>691</v>
      </c>
      <c r="F267" s="34">
        <v>25</v>
      </c>
      <c r="G267" s="34">
        <v>206</v>
      </c>
      <c r="H267" s="20"/>
      <c r="I267" s="20"/>
      <c r="J267" s="34" t="s">
        <v>694</v>
      </c>
      <c r="K267" s="34">
        <v>0</v>
      </c>
      <c r="L267" s="34">
        <v>0</v>
      </c>
      <c r="M267" s="20"/>
      <c r="N267" s="102" t="s">
        <v>1154</v>
      </c>
      <c r="O267" s="20"/>
      <c r="P267" s="20" t="s">
        <v>1155</v>
      </c>
      <c r="Q267" s="20" t="s">
        <v>1156</v>
      </c>
      <c r="R267" s="20"/>
      <c r="S267" s="34">
        <v>1002</v>
      </c>
    </row>
    <row r="268" spans="1:19" ht="16.5" x14ac:dyDescent="0.35">
      <c r="A268" s="104" t="str">
        <f>HYPERLINK("https://www.examplebusiness.com/resource-center/lifestyle/a-cheat-sheet-for-sending-your-kid-to-college","https://www.examplebusiness.com/resource-center/lifestyle/a-cheat-sheet-for-sending-your-kid-to-college")</f>
        <v>https://www.examplebusiness.com/resource-center/lifestyle/a-cheat-sheet-for-sending-your-kid-to-college</v>
      </c>
      <c r="B268" s="34">
        <v>200</v>
      </c>
      <c r="C268" s="34"/>
      <c r="D268" s="20" t="s">
        <v>2294</v>
      </c>
      <c r="E268" s="34" t="s">
        <v>691</v>
      </c>
      <c r="F268" s="34">
        <v>61</v>
      </c>
      <c r="G268" s="34">
        <v>544</v>
      </c>
      <c r="H268" s="20"/>
      <c r="I268" s="20"/>
      <c r="J268" s="34" t="s">
        <v>694</v>
      </c>
      <c r="K268" s="34">
        <v>0</v>
      </c>
      <c r="L268" s="34">
        <v>0</v>
      </c>
      <c r="M268" s="20"/>
      <c r="N268" s="102" t="s">
        <v>1157</v>
      </c>
      <c r="O268" s="20"/>
      <c r="P268" s="20" t="s">
        <v>843</v>
      </c>
      <c r="Q268" s="20" t="s">
        <v>845</v>
      </c>
      <c r="R268" s="20"/>
      <c r="S268" s="34">
        <v>573</v>
      </c>
    </row>
    <row r="269" spans="1:19" ht="16.5" x14ac:dyDescent="0.35">
      <c r="A269" s="104" t="str">
        <f>HYPERLINK("https://www.examplebusiness.com/resource-center/lifestyle/a-house-divided","https://www.examplebusiness.com/resource-center/lifestyle/a-house-divided")</f>
        <v>https://www.examplebusiness.com/resource-center/lifestyle/a-house-divided</v>
      </c>
      <c r="B269" s="34">
        <v>200</v>
      </c>
      <c r="C269" s="34"/>
      <c r="D269" s="20" t="s">
        <v>2295</v>
      </c>
      <c r="E269" s="34" t="s">
        <v>691</v>
      </c>
      <c r="F269" s="34">
        <v>31</v>
      </c>
      <c r="G269" s="34">
        <v>277</v>
      </c>
      <c r="H269" s="20"/>
      <c r="I269" s="20"/>
      <c r="J269" s="34" t="s">
        <v>694</v>
      </c>
      <c r="K269" s="34">
        <v>0</v>
      </c>
      <c r="L269" s="34">
        <v>0</v>
      </c>
      <c r="M269" s="20"/>
      <c r="N269" s="102" t="s">
        <v>1158</v>
      </c>
      <c r="O269" s="20"/>
      <c r="P269" s="20" t="s">
        <v>843</v>
      </c>
      <c r="Q269" s="20" t="s">
        <v>845</v>
      </c>
      <c r="R269" s="20"/>
      <c r="S269" s="34">
        <v>544</v>
      </c>
    </row>
    <row r="270" spans="1:19" ht="16.5" x14ac:dyDescent="0.35">
      <c r="A270" s="104" t="str">
        <f>HYPERLINK("https://www.examplebusiness.com/resource-center/lifestyle/a-new-way-to-look-at-your-bucket-list","https://www.examplebusiness.com/resource-center/lifestyle/a-new-way-to-look-at-your-bucket-list")</f>
        <v>https://www.examplebusiness.com/resource-center/lifestyle/a-new-way-to-look-at-your-bucket-list</v>
      </c>
      <c r="B270" s="34">
        <v>200</v>
      </c>
      <c r="C270" s="34"/>
      <c r="D270" s="20" t="s">
        <v>2296</v>
      </c>
      <c r="E270" s="34" t="s">
        <v>691</v>
      </c>
      <c r="F270" s="34">
        <v>53</v>
      </c>
      <c r="G270" s="34">
        <v>483</v>
      </c>
      <c r="H270" s="20"/>
      <c r="I270" s="20"/>
      <c r="J270" s="34" t="s">
        <v>694</v>
      </c>
      <c r="K270" s="34">
        <v>0</v>
      </c>
      <c r="L270" s="34">
        <v>0</v>
      </c>
      <c r="M270" s="20"/>
      <c r="N270" s="102" t="s">
        <v>1159</v>
      </c>
      <c r="O270" s="20"/>
      <c r="P270" s="20" t="s">
        <v>843</v>
      </c>
      <c r="Q270" s="20" t="s">
        <v>845</v>
      </c>
      <c r="R270" s="20"/>
      <c r="S270" s="34">
        <v>106</v>
      </c>
    </row>
    <row r="271" spans="1:19" ht="16.5" x14ac:dyDescent="0.35">
      <c r="A271" s="104" t="str">
        <f>HYPERLINK("https://www.examplebusiness.com/resource-center/lifestyle/acres-of-diamonds","https://www.examplebusiness.com/resource-center/lifestyle/acres-of-diamonds")</f>
        <v>https://www.examplebusiness.com/resource-center/lifestyle/acres-of-diamonds</v>
      </c>
      <c r="B271" s="34">
        <v>200</v>
      </c>
      <c r="C271" s="34"/>
      <c r="D271" s="20" t="s">
        <v>2297</v>
      </c>
      <c r="E271" s="34" t="s">
        <v>691</v>
      </c>
      <c r="F271" s="34">
        <v>33</v>
      </c>
      <c r="G271" s="34">
        <v>300</v>
      </c>
      <c r="H271" s="20"/>
      <c r="I271" s="20"/>
      <c r="J271" s="34" t="s">
        <v>694</v>
      </c>
      <c r="K271" s="34">
        <v>0</v>
      </c>
      <c r="L271" s="34">
        <v>0</v>
      </c>
      <c r="M271" s="20"/>
      <c r="N271" s="102" t="s">
        <v>1160</v>
      </c>
      <c r="O271" s="20"/>
      <c r="P271" s="20" t="s">
        <v>843</v>
      </c>
      <c r="Q271" s="20" t="s">
        <v>845</v>
      </c>
      <c r="R271" s="20"/>
      <c r="S271" s="34">
        <v>102</v>
      </c>
    </row>
    <row r="272" spans="1:19" ht="16.5" x14ac:dyDescent="0.35">
      <c r="A272" s="104" t="str">
        <f>HYPERLINK("https://www.examplebusiness.com/resource-center/lifestyle/an-arm-and-a-leg","https://www.examplebusiness.com/resource-center/lifestyle/an-arm-and-a-leg")</f>
        <v>https://www.examplebusiness.com/resource-center/lifestyle/an-arm-and-a-leg</v>
      </c>
      <c r="B272" s="34">
        <v>200</v>
      </c>
      <c r="C272" s="34"/>
      <c r="D272" s="20" t="s">
        <v>2298</v>
      </c>
      <c r="E272" s="34" t="s">
        <v>691</v>
      </c>
      <c r="F272" s="34">
        <v>32</v>
      </c>
      <c r="G272" s="34">
        <v>292</v>
      </c>
      <c r="H272" s="20"/>
      <c r="I272" s="20"/>
      <c r="J272" s="34" t="s">
        <v>694</v>
      </c>
      <c r="K272" s="34">
        <v>0</v>
      </c>
      <c r="L272" s="34">
        <v>0</v>
      </c>
      <c r="M272" s="20"/>
      <c r="N272" s="102" t="s">
        <v>1155</v>
      </c>
      <c r="O272" s="20"/>
      <c r="P272" s="20" t="s">
        <v>843</v>
      </c>
      <c r="Q272" s="20" t="s">
        <v>845</v>
      </c>
      <c r="R272" s="20"/>
      <c r="S272" s="34">
        <v>112</v>
      </c>
    </row>
    <row r="273" spans="1:19" ht="16.5" x14ac:dyDescent="0.35">
      <c r="A273" s="104" t="str">
        <f>HYPERLINK("https://www.examplebusiness.com/resource-center/lifestyle/avoiding-cognitive-decline","https://www.examplebusiness.com/resource-center/lifestyle/avoiding-cognitive-decline")</f>
        <v>https://www.examplebusiness.com/resource-center/lifestyle/avoiding-cognitive-decline</v>
      </c>
      <c r="B273" s="34">
        <v>200</v>
      </c>
      <c r="C273" s="34"/>
      <c r="D273" s="20" t="s">
        <v>2299</v>
      </c>
      <c r="E273" s="34" t="s">
        <v>691</v>
      </c>
      <c r="F273" s="34">
        <v>42</v>
      </c>
      <c r="G273" s="34">
        <v>362</v>
      </c>
      <c r="H273" s="20"/>
      <c r="I273" s="20"/>
      <c r="J273" s="34" t="s">
        <v>694</v>
      </c>
      <c r="K273" s="34">
        <v>0</v>
      </c>
      <c r="L273" s="34">
        <v>0</v>
      </c>
      <c r="M273" s="20"/>
      <c r="N273" s="102" t="s">
        <v>1161</v>
      </c>
      <c r="O273" s="20"/>
      <c r="P273" s="20" t="s">
        <v>1162</v>
      </c>
      <c r="Q273" s="20" t="s">
        <v>843</v>
      </c>
      <c r="R273" s="20"/>
      <c r="S273" s="34">
        <v>564</v>
      </c>
    </row>
    <row r="274" spans="1:19" ht="16.5" x14ac:dyDescent="0.35">
      <c r="A274" s="104" t="str">
        <f>HYPERLINK("https://www.examplebusiness.com/resource-center/lifestyle/best-vacations-by-car-by-ship-by-foot-once-in-a-lifetime","https://www.examplebusiness.com/resource-center/lifestyle/best-vacations-by-car-by-ship-by-foot-once-in-a-lifetime")</f>
        <v>https://www.examplebusiness.com/resource-center/lifestyle/best-vacations-by-car-by-ship-by-foot-once-in-a-lifetime</v>
      </c>
      <c r="B274" s="34">
        <v>200</v>
      </c>
      <c r="C274" s="34"/>
      <c r="D274" s="20" t="s">
        <v>2300</v>
      </c>
      <c r="E274" s="34" t="s">
        <v>691</v>
      </c>
      <c r="F274" s="34">
        <v>76</v>
      </c>
      <c r="G274" s="34">
        <v>669</v>
      </c>
      <c r="H274" s="20"/>
      <c r="I274" s="20"/>
      <c r="J274" s="34" t="s">
        <v>694</v>
      </c>
      <c r="K274" s="34">
        <v>0</v>
      </c>
      <c r="L274" s="34">
        <v>0</v>
      </c>
      <c r="M274" s="20"/>
      <c r="N274" s="102" t="s">
        <v>1163</v>
      </c>
      <c r="O274" s="20"/>
      <c r="P274" s="20" t="s">
        <v>1164</v>
      </c>
      <c r="Q274" s="20" t="s">
        <v>1165</v>
      </c>
      <c r="R274" s="20"/>
      <c r="S274" s="34">
        <v>575</v>
      </c>
    </row>
    <row r="275" spans="1:19" ht="16.5" x14ac:dyDescent="0.35">
      <c r="A275" s="104" t="str">
        <f>HYPERLINK("https://www.examplebusiness.com/resource-center/lifestyle/bi-weekly-payments","https://www.examplebusiness.com/resource-center/lifestyle/bi-weekly-payments")</f>
        <v>https://www.examplebusiness.com/resource-center/lifestyle/bi-weekly-payments</v>
      </c>
      <c r="B275" s="34">
        <v>200</v>
      </c>
      <c r="C275" s="34"/>
      <c r="D275" s="20" t="s">
        <v>2301</v>
      </c>
      <c r="E275" s="34" t="s">
        <v>691</v>
      </c>
      <c r="F275" s="34">
        <v>34</v>
      </c>
      <c r="G275" s="34">
        <v>315</v>
      </c>
      <c r="H275" s="20"/>
      <c r="I275" s="20"/>
      <c r="J275" s="34" t="s">
        <v>694</v>
      </c>
      <c r="K275" s="34">
        <v>0</v>
      </c>
      <c r="L275" s="34">
        <v>0</v>
      </c>
      <c r="M275" s="20"/>
      <c r="N275" s="102" t="s">
        <v>1166</v>
      </c>
      <c r="O275" s="20"/>
      <c r="P275" s="20" t="s">
        <v>843</v>
      </c>
      <c r="Q275" s="20" t="s">
        <v>845</v>
      </c>
      <c r="R275" s="20"/>
      <c r="S275" s="34">
        <v>125</v>
      </c>
    </row>
    <row r="276" spans="1:19" ht="16.5" x14ac:dyDescent="0.35">
      <c r="A276" s="104" t="str">
        <f>HYPERLINK("https://www.examplebusiness.com/resource-center/lifestyle/building-your-legacy","https://www.examplebusiness.com/resource-center/lifestyle/building-your-legacy")</f>
        <v>https://www.examplebusiness.com/resource-center/lifestyle/building-your-legacy</v>
      </c>
      <c r="B276" s="34">
        <v>200</v>
      </c>
      <c r="C276" s="34"/>
      <c r="D276" s="20" t="s">
        <v>2302</v>
      </c>
      <c r="E276" s="34" t="s">
        <v>691</v>
      </c>
      <c r="F276" s="34">
        <v>36</v>
      </c>
      <c r="G276" s="34">
        <v>318</v>
      </c>
      <c r="H276" s="20"/>
      <c r="I276" s="20"/>
      <c r="J276" s="34" t="s">
        <v>694</v>
      </c>
      <c r="K276" s="34">
        <v>0</v>
      </c>
      <c r="L276" s="34">
        <v>0</v>
      </c>
      <c r="M276" s="20"/>
      <c r="N276" s="102" t="s">
        <v>1167</v>
      </c>
      <c r="O276" s="20"/>
      <c r="P276" s="20" t="s">
        <v>1168</v>
      </c>
      <c r="Q276" s="20" t="s">
        <v>843</v>
      </c>
      <c r="R276" s="20"/>
      <c r="S276" s="34">
        <v>499</v>
      </c>
    </row>
    <row r="277" spans="1:19" ht="16.5" x14ac:dyDescent="0.35">
      <c r="A277" s="104" t="str">
        <f>HYPERLINK("https://www.examplebusiness.com/resource-center/lifestyle/can-i-refinance-my-mortgage","https://www.examplebusiness.com/resource-center/lifestyle/can-i-refinance-my-mortgage")</f>
        <v>https://www.examplebusiness.com/resource-center/lifestyle/can-i-refinance-my-mortgage</v>
      </c>
      <c r="B277" s="34">
        <v>200</v>
      </c>
      <c r="C277" s="34"/>
      <c r="D277" s="20" t="s">
        <v>2303</v>
      </c>
      <c r="E277" s="34" t="s">
        <v>691</v>
      </c>
      <c r="F277" s="34">
        <v>44</v>
      </c>
      <c r="G277" s="34">
        <v>408</v>
      </c>
      <c r="H277" s="20"/>
      <c r="I277" s="20"/>
      <c r="J277" s="34" t="s">
        <v>694</v>
      </c>
      <c r="K277" s="34">
        <v>0</v>
      </c>
      <c r="L277" s="34">
        <v>0</v>
      </c>
      <c r="M277" s="20"/>
      <c r="N277" s="102" t="s">
        <v>1169</v>
      </c>
      <c r="O277" s="20"/>
      <c r="P277" s="20" t="s">
        <v>843</v>
      </c>
      <c r="Q277" s="20" t="s">
        <v>845</v>
      </c>
      <c r="R277" s="20"/>
      <c r="S277" s="34">
        <v>125</v>
      </c>
    </row>
    <row r="278" spans="1:19" ht="16.5" x14ac:dyDescent="0.35">
      <c r="A278" s="104" t="str">
        <f>HYPERLINK("https://www.examplebusiness.com/resource-center/lifestyle/changing-unhealthy-behaviors","https://www.examplebusiness.com/resource-center/lifestyle/changing-unhealthy-behaviors")</f>
        <v>https://www.examplebusiness.com/resource-center/lifestyle/changing-unhealthy-behaviors</v>
      </c>
      <c r="B278" s="34">
        <v>200</v>
      </c>
      <c r="C278" s="34"/>
      <c r="D278" s="20" t="s">
        <v>2304</v>
      </c>
      <c r="E278" s="34" t="s">
        <v>691</v>
      </c>
      <c r="F278" s="34">
        <v>44</v>
      </c>
      <c r="G278" s="34">
        <v>397</v>
      </c>
      <c r="H278" s="20"/>
      <c r="I278" s="20"/>
      <c r="J278" s="34" t="s">
        <v>694</v>
      </c>
      <c r="K278" s="34">
        <v>0</v>
      </c>
      <c r="L278" s="34">
        <v>0</v>
      </c>
      <c r="M278" s="20"/>
      <c r="N278" s="102" t="s">
        <v>1170</v>
      </c>
      <c r="O278" s="20"/>
      <c r="P278" s="20" t="s">
        <v>1171</v>
      </c>
      <c r="Q278" s="20" t="s">
        <v>843</v>
      </c>
      <c r="R278" s="20"/>
      <c r="S278" s="34">
        <v>589</v>
      </c>
    </row>
    <row r="279" spans="1:19" ht="16.5" x14ac:dyDescent="0.35">
      <c r="A279" s="104" t="str">
        <f>HYPERLINK("https://www.examplebusiness.com/resource-center/lifestyle/choosing-a-mortgage","https://www.examplebusiness.com/resource-center/lifestyle/choosing-a-mortgage")</f>
        <v>https://www.examplebusiness.com/resource-center/lifestyle/choosing-a-mortgage</v>
      </c>
      <c r="B279" s="34">
        <v>200</v>
      </c>
      <c r="C279" s="34"/>
      <c r="D279" s="20" t="s">
        <v>2305</v>
      </c>
      <c r="E279" s="34" t="s">
        <v>691</v>
      </c>
      <c r="F279" s="34">
        <v>35</v>
      </c>
      <c r="G279" s="34">
        <v>322</v>
      </c>
      <c r="H279" s="20"/>
      <c r="I279" s="20"/>
      <c r="J279" s="34" t="s">
        <v>694</v>
      </c>
      <c r="K279" s="34">
        <v>0</v>
      </c>
      <c r="L279" s="34">
        <v>0</v>
      </c>
      <c r="M279" s="20"/>
      <c r="N279" s="102" t="s">
        <v>1172</v>
      </c>
      <c r="O279" s="20"/>
      <c r="P279" s="20" t="s">
        <v>843</v>
      </c>
      <c r="Q279" s="20" t="s">
        <v>845</v>
      </c>
      <c r="R279" s="20"/>
      <c r="S279" s="34">
        <v>98</v>
      </c>
    </row>
    <row r="280" spans="1:19" ht="16.5" x14ac:dyDescent="0.35">
      <c r="A280" s="104" t="str">
        <f>HYPERLINK("https://www.examplebusiness.com/resource-center/lifestyle/coaches","https://www.examplebusiness.com/resource-center/lifestyle/coaches")</f>
        <v>https://www.examplebusiness.com/resource-center/lifestyle/coaches</v>
      </c>
      <c r="B280" s="34">
        <v>200</v>
      </c>
      <c r="C280" s="34"/>
      <c r="D280" s="20" t="s">
        <v>2306</v>
      </c>
      <c r="E280" s="34" t="s">
        <v>691</v>
      </c>
      <c r="F280" s="34">
        <v>23</v>
      </c>
      <c r="G280" s="34">
        <v>210</v>
      </c>
      <c r="H280" s="20"/>
      <c r="I280" s="20"/>
      <c r="J280" s="34" t="s">
        <v>694</v>
      </c>
      <c r="K280" s="34">
        <v>0</v>
      </c>
      <c r="L280" s="34">
        <v>0</v>
      </c>
      <c r="M280" s="20"/>
      <c r="N280" s="102" t="s">
        <v>1173</v>
      </c>
      <c r="O280" s="20"/>
      <c r="P280" s="20" t="s">
        <v>843</v>
      </c>
      <c r="Q280" s="20" t="s">
        <v>845</v>
      </c>
      <c r="R280" s="20"/>
      <c r="S280" s="34">
        <v>107</v>
      </c>
    </row>
    <row r="281" spans="1:19" ht="16.5" x14ac:dyDescent="0.35">
      <c r="A281" s="104" t="str">
        <f>HYPERLINK("https://www.examplebusiness.com/resource-center/lifestyle/comparing-mortgage-terms","https://www.examplebusiness.com/resource-center/lifestyle/comparing-mortgage-terms")</f>
        <v>https://www.examplebusiness.com/resource-center/lifestyle/comparing-mortgage-terms</v>
      </c>
      <c r="B281" s="34">
        <v>200</v>
      </c>
      <c r="C281" s="34"/>
      <c r="D281" s="20" t="s">
        <v>2307</v>
      </c>
      <c r="E281" s="34" t="s">
        <v>691</v>
      </c>
      <c r="F281" s="34">
        <v>40</v>
      </c>
      <c r="G281" s="34">
        <v>381</v>
      </c>
      <c r="H281" s="20"/>
      <c r="I281" s="20"/>
      <c r="J281" s="34" t="s">
        <v>694</v>
      </c>
      <c r="K281" s="34">
        <v>0</v>
      </c>
      <c r="L281" s="34">
        <v>0</v>
      </c>
      <c r="M281" s="20"/>
      <c r="N281" s="102" t="s">
        <v>1174</v>
      </c>
      <c r="O281" s="20"/>
      <c r="P281" s="20" t="s">
        <v>843</v>
      </c>
      <c r="Q281" s="20" t="s">
        <v>845</v>
      </c>
      <c r="R281" s="20"/>
      <c r="S281" s="34">
        <v>123</v>
      </c>
    </row>
    <row r="282" spans="1:19" ht="16.5" x14ac:dyDescent="0.35">
      <c r="A282" s="104" t="str">
        <f>HYPERLINK("https://www.examplebusiness.com/resource-center/lifestyle/consider-these-three-things-before-driving-off-the-lot","https://www.examplebusiness.com/resource-center/lifestyle/consider-these-three-things-before-driving-off-the-lot")</f>
        <v>https://www.examplebusiness.com/resource-center/lifestyle/consider-these-three-things-before-driving-off-the-lot</v>
      </c>
      <c r="B282" s="34">
        <v>200</v>
      </c>
      <c r="C282" s="34"/>
      <c r="D282" s="20" t="s">
        <v>2308</v>
      </c>
      <c r="E282" s="34" t="s">
        <v>691</v>
      </c>
      <c r="F282" s="34">
        <v>66</v>
      </c>
      <c r="G282" s="34">
        <v>582</v>
      </c>
      <c r="H282" s="20"/>
      <c r="I282" s="20"/>
      <c r="J282" s="34" t="s">
        <v>694</v>
      </c>
      <c r="K282" s="34">
        <v>0</v>
      </c>
      <c r="L282" s="34">
        <v>0</v>
      </c>
      <c r="M282" s="20"/>
      <c r="N282" s="102" t="s">
        <v>1175</v>
      </c>
      <c r="O282" s="20"/>
      <c r="P282" s="20" t="s">
        <v>843</v>
      </c>
      <c r="Q282" s="20" t="s">
        <v>845</v>
      </c>
      <c r="R282" s="20"/>
      <c r="S282" s="34">
        <v>111</v>
      </c>
    </row>
    <row r="283" spans="1:19" ht="16.5" x14ac:dyDescent="0.35">
      <c r="A283" s="104" t="str">
        <f>HYPERLINK("https://www.examplebusiness.com/resource-center/lifestyle/countdown-to-college","https://www.examplebusiness.com/resource-center/lifestyle/countdown-to-college")</f>
        <v>https://www.examplebusiness.com/resource-center/lifestyle/countdown-to-college</v>
      </c>
      <c r="B283" s="34">
        <v>200</v>
      </c>
      <c r="C283" s="34"/>
      <c r="D283" s="20" t="s">
        <v>2309</v>
      </c>
      <c r="E283" s="34" t="s">
        <v>691</v>
      </c>
      <c r="F283" s="34">
        <v>36</v>
      </c>
      <c r="G283" s="34">
        <v>326</v>
      </c>
      <c r="H283" s="20"/>
      <c r="I283" s="20"/>
      <c r="J283" s="34" t="s">
        <v>694</v>
      </c>
      <c r="K283" s="34">
        <v>0</v>
      </c>
      <c r="L283" s="34">
        <v>0</v>
      </c>
      <c r="M283" s="20"/>
      <c r="N283" s="102" t="s">
        <v>1176</v>
      </c>
      <c r="O283" s="20"/>
      <c r="P283" s="20" t="s">
        <v>1177</v>
      </c>
      <c r="Q283" s="20" t="s">
        <v>1178</v>
      </c>
      <c r="R283" s="20"/>
      <c r="S283" s="34">
        <v>925</v>
      </c>
    </row>
    <row r="284" spans="1:19" ht="16.5" x14ac:dyDescent="0.35">
      <c r="A284" s="104" t="str">
        <f>HYPERLINK("https://www.examplebusiness.com/resource-center/lifestyle/creative-ways-to-motivate-your-employees","https://www.examplebusiness.com/resource-center/lifestyle/creative-ways-to-motivate-your-employees")</f>
        <v>https://www.examplebusiness.com/resource-center/lifestyle/creative-ways-to-motivate-your-employees</v>
      </c>
      <c r="B284" s="34">
        <v>200</v>
      </c>
      <c r="C284" s="34"/>
      <c r="D284" s="20" t="s">
        <v>2310</v>
      </c>
      <c r="E284" s="34" t="s">
        <v>691</v>
      </c>
      <c r="F284" s="34">
        <v>56</v>
      </c>
      <c r="G284" s="34">
        <v>517</v>
      </c>
      <c r="H284" s="20"/>
      <c r="I284" s="20"/>
      <c r="J284" s="34" t="s">
        <v>694</v>
      </c>
      <c r="K284" s="34">
        <v>0</v>
      </c>
      <c r="L284" s="34">
        <v>0</v>
      </c>
      <c r="M284" s="20"/>
      <c r="N284" s="102" t="s">
        <v>1179</v>
      </c>
      <c r="O284" s="20"/>
      <c r="P284" s="20" t="s">
        <v>1180</v>
      </c>
      <c r="Q284" s="20" t="s">
        <v>1181</v>
      </c>
      <c r="R284" s="20"/>
      <c r="S284" s="34">
        <v>463</v>
      </c>
    </row>
    <row r="285" spans="1:19" ht="16.5" x14ac:dyDescent="0.35">
      <c r="A285" s="104" t="str">
        <f>HYPERLINK("https://www.examplebusiness.com/resource-center/lifestyle/crowdfunding-capital-for-the-21st-century","https://www.examplebusiness.com/resource-center/lifestyle/crowdfunding-capital-for-the-21st-century")</f>
        <v>https://www.examplebusiness.com/resource-center/lifestyle/crowdfunding-capital-for-the-21st-century</v>
      </c>
      <c r="B285" s="34">
        <v>200</v>
      </c>
      <c r="C285" s="34"/>
      <c r="D285" s="20" t="s">
        <v>2311</v>
      </c>
      <c r="E285" s="34" t="s">
        <v>691</v>
      </c>
      <c r="F285" s="34">
        <v>57</v>
      </c>
      <c r="G285" s="34">
        <v>515</v>
      </c>
      <c r="H285" s="20"/>
      <c r="I285" s="20"/>
      <c r="J285" s="34" t="s">
        <v>694</v>
      </c>
      <c r="K285" s="34">
        <v>0</v>
      </c>
      <c r="L285" s="34">
        <v>0</v>
      </c>
      <c r="M285" s="20"/>
      <c r="N285" s="102" t="s">
        <v>1182</v>
      </c>
      <c r="O285" s="20"/>
      <c r="P285" s="20" t="s">
        <v>1183</v>
      </c>
      <c r="Q285" s="20" t="s">
        <v>1184</v>
      </c>
      <c r="R285" s="20"/>
      <c r="S285" s="34">
        <v>558</v>
      </c>
    </row>
    <row r="286" spans="1:19" ht="16.5" x14ac:dyDescent="0.35">
      <c r="A286" s="104" t="str">
        <f>HYPERLINK("https://www.examplebusiness.com/resource-center/lifestyle/debt-stress","https://www.examplebusiness.com/resource-center/lifestyle/debt-stress")</f>
        <v>https://www.examplebusiness.com/resource-center/lifestyle/debt-stress</v>
      </c>
      <c r="B286" s="34">
        <v>200</v>
      </c>
      <c r="C286" s="34"/>
      <c r="D286" s="20" t="s">
        <v>2312</v>
      </c>
      <c r="E286" s="34" t="s">
        <v>691</v>
      </c>
      <c r="F286" s="34">
        <v>27</v>
      </c>
      <c r="G286" s="34">
        <v>238</v>
      </c>
      <c r="H286" s="20"/>
      <c r="I286" s="20"/>
      <c r="J286" s="34" t="s">
        <v>694</v>
      </c>
      <c r="K286" s="34">
        <v>0</v>
      </c>
      <c r="L286" s="34">
        <v>0</v>
      </c>
      <c r="M286" s="20"/>
      <c r="N286" s="102" t="s">
        <v>1185</v>
      </c>
      <c r="O286" s="20"/>
      <c r="P286" s="20" t="s">
        <v>1186</v>
      </c>
      <c r="Q286" s="20" t="s">
        <v>1187</v>
      </c>
      <c r="R286" s="20"/>
      <c r="S286" s="34">
        <v>585</v>
      </c>
    </row>
    <row r="287" spans="1:19" ht="16.5" x14ac:dyDescent="0.35">
      <c r="A287" s="104" t="str">
        <f>HYPERLINK("https://www.examplebusiness.com/resource-center/lifestyle/do-your-kids-know-the-value-of-a-silver-spoon","https://www.examplebusiness.com/resource-center/lifestyle/do-your-kids-know-the-value-of-a-silver-spoon")</f>
        <v>https://www.examplebusiness.com/resource-center/lifestyle/do-your-kids-know-the-value-of-a-silver-spoon</v>
      </c>
      <c r="B287" s="34">
        <v>200</v>
      </c>
      <c r="C287" s="34"/>
      <c r="D287" s="20" t="s">
        <v>2313</v>
      </c>
      <c r="E287" s="34" t="s">
        <v>691</v>
      </c>
      <c r="F287" s="34">
        <v>62</v>
      </c>
      <c r="G287" s="34">
        <v>566</v>
      </c>
      <c r="H287" s="20"/>
      <c r="I287" s="20"/>
      <c r="J287" s="34" t="s">
        <v>694</v>
      </c>
      <c r="K287" s="34">
        <v>0</v>
      </c>
      <c r="L287" s="34">
        <v>0</v>
      </c>
      <c r="M287" s="20"/>
      <c r="N287" s="102" t="s">
        <v>1188</v>
      </c>
      <c r="O287" s="20"/>
      <c r="P287" s="20" t="s">
        <v>843</v>
      </c>
      <c r="Q287" s="20" t="s">
        <v>845</v>
      </c>
      <c r="R287" s="20"/>
      <c r="S287" s="34">
        <v>701</v>
      </c>
    </row>
    <row r="288" spans="1:19" ht="16.5" x14ac:dyDescent="0.35">
      <c r="A288" s="104" t="str">
        <f>HYPERLINK("https://www.examplebusiness.com/resource-center/lifestyle/Example-aid-for-students-101","https://www.examplebusiness.com/resource-center/lifestyle/Example-aid-for-students-101")</f>
        <v>https://www.examplebusiness.com/resource-center/lifestyle/Example-aid-for-students-101</v>
      </c>
      <c r="B288" s="34">
        <v>200</v>
      </c>
      <c r="C288" s="34"/>
      <c r="D288" s="20" t="s">
        <v>2520</v>
      </c>
      <c r="E288" s="34" t="s">
        <v>691</v>
      </c>
      <c r="F288" s="34">
        <v>46</v>
      </c>
      <c r="G288" s="34">
        <v>395</v>
      </c>
      <c r="H288" s="20"/>
      <c r="I288" s="20"/>
      <c r="J288" s="34" t="s">
        <v>694</v>
      </c>
      <c r="K288" s="34">
        <v>0</v>
      </c>
      <c r="L288" s="34">
        <v>0</v>
      </c>
      <c r="M288" s="20"/>
      <c r="N288" s="102" t="s">
        <v>2521</v>
      </c>
      <c r="O288" s="20"/>
      <c r="P288" s="20" t="s">
        <v>1189</v>
      </c>
      <c r="Q288" s="20" t="s">
        <v>1190</v>
      </c>
      <c r="R288" s="20"/>
      <c r="S288" s="34">
        <v>613</v>
      </c>
    </row>
    <row r="289" spans="1:19" ht="16.5" x14ac:dyDescent="0.35">
      <c r="A289" s="104" t="str">
        <f>HYPERLINK("https://www.examplebusiness.com/resource-center/lifestyle/forecast-video","https://www.examplebusiness.com/resource-center/lifestyle/forecast-video")</f>
        <v>https://www.examplebusiness.com/resource-center/lifestyle/forecast-video</v>
      </c>
      <c r="B289" s="34">
        <v>200</v>
      </c>
      <c r="C289" s="34"/>
      <c r="D289" s="20" t="s">
        <v>2314</v>
      </c>
      <c r="E289" s="34" t="s">
        <v>691</v>
      </c>
      <c r="F289" s="34">
        <v>24</v>
      </c>
      <c r="G289" s="34">
        <v>211</v>
      </c>
      <c r="H289" s="20"/>
      <c r="I289" s="20"/>
      <c r="J289" s="34" t="s">
        <v>694</v>
      </c>
      <c r="K289" s="34">
        <v>0</v>
      </c>
      <c r="L289" s="34">
        <v>0</v>
      </c>
      <c r="M289" s="20"/>
      <c r="N289" s="102" t="s">
        <v>1191</v>
      </c>
      <c r="O289" s="20"/>
      <c r="P289" s="20" t="s">
        <v>843</v>
      </c>
      <c r="Q289" s="20" t="s">
        <v>845</v>
      </c>
      <c r="R289" s="20"/>
      <c r="S289" s="34">
        <v>106</v>
      </c>
    </row>
    <row r="290" spans="1:19" ht="16.5" x14ac:dyDescent="0.35">
      <c r="A290" s="104" t="str">
        <f>HYPERLINK("https://www.examplebusiness.com/resource-center/lifestyle/four-great-unexpected-places-to-raise-a-family","https://www.examplebusiness.com/resource-center/lifestyle/four-great-unexpected-places-to-raise-a-family")</f>
        <v>https://www.examplebusiness.com/resource-center/lifestyle/four-great-unexpected-places-to-raise-a-family</v>
      </c>
      <c r="B290" s="34">
        <v>200</v>
      </c>
      <c r="C290" s="34"/>
      <c r="D290" s="20" t="s">
        <v>2315</v>
      </c>
      <c r="E290" s="34" t="s">
        <v>691</v>
      </c>
      <c r="F290" s="34">
        <v>63</v>
      </c>
      <c r="G290" s="34">
        <v>569</v>
      </c>
      <c r="H290" s="20"/>
      <c r="I290" s="20"/>
      <c r="J290" s="34" t="s">
        <v>694</v>
      </c>
      <c r="K290" s="34">
        <v>0</v>
      </c>
      <c r="L290" s="34">
        <v>0</v>
      </c>
      <c r="M290" s="20"/>
      <c r="N290" s="102" t="s">
        <v>1192</v>
      </c>
      <c r="O290" s="20"/>
      <c r="P290" s="20" t="s">
        <v>1193</v>
      </c>
      <c r="Q290" s="20" t="s">
        <v>1194</v>
      </c>
      <c r="R290" s="20"/>
      <c r="S290" s="34">
        <v>602</v>
      </c>
    </row>
    <row r="291" spans="1:19" ht="16.5" x14ac:dyDescent="0.35">
      <c r="A291" s="104" t="str">
        <f>HYPERLINK("https://www.examplebusiness.com/resource-center/lifestyle/good-health-is-good-business","https://www.examplebusiness.com/resource-center/lifestyle/good-health-is-good-business")</f>
        <v>https://www.examplebusiness.com/resource-center/lifestyle/good-health-is-good-business</v>
      </c>
      <c r="B291" s="34">
        <v>200</v>
      </c>
      <c r="C291" s="34"/>
      <c r="D291" s="20" t="s">
        <v>2316</v>
      </c>
      <c r="E291" s="34" t="s">
        <v>691</v>
      </c>
      <c r="F291" s="34">
        <v>44</v>
      </c>
      <c r="G291" s="34">
        <v>402</v>
      </c>
      <c r="H291" s="20"/>
      <c r="I291" s="20"/>
      <c r="J291" s="34" t="s">
        <v>694</v>
      </c>
      <c r="K291" s="34">
        <v>0</v>
      </c>
      <c r="L291" s="34">
        <v>0</v>
      </c>
      <c r="M291" s="20"/>
      <c r="N291" s="102" t="s">
        <v>1195</v>
      </c>
      <c r="O291" s="20"/>
      <c r="P291" s="20" t="s">
        <v>1196</v>
      </c>
      <c r="Q291" s="20" t="s">
        <v>1197</v>
      </c>
      <c r="R291" s="20"/>
      <c r="S291" s="34">
        <v>486</v>
      </c>
    </row>
    <row r="292" spans="1:19" ht="16.5" x14ac:dyDescent="0.35">
      <c r="A292" s="104" t="str">
        <f>HYPERLINK("https://www.examplebusiness.com/resource-center/lifestyle/healthy-body-healthy-pocketbook","https://www.examplebusiness.com/resource-center/lifestyle/healthy-body-healthy-pocketbook")</f>
        <v>https://www.examplebusiness.com/resource-center/lifestyle/healthy-body-healthy-pocketbook</v>
      </c>
      <c r="B292" s="34">
        <v>200</v>
      </c>
      <c r="C292" s="34"/>
      <c r="D292" s="20" t="s">
        <v>2317</v>
      </c>
      <c r="E292" s="34" t="s">
        <v>691</v>
      </c>
      <c r="F292" s="34">
        <v>48</v>
      </c>
      <c r="G292" s="34">
        <v>436</v>
      </c>
      <c r="H292" s="20"/>
      <c r="I292" s="20"/>
      <c r="J292" s="34" t="s">
        <v>694</v>
      </c>
      <c r="K292" s="34">
        <v>0</v>
      </c>
      <c r="L292" s="34">
        <v>0</v>
      </c>
      <c r="M292" s="20"/>
      <c r="N292" s="102" t="s">
        <v>1198</v>
      </c>
      <c r="O292" s="20"/>
      <c r="P292" s="20" t="s">
        <v>843</v>
      </c>
      <c r="Q292" s="20" t="s">
        <v>845</v>
      </c>
      <c r="R292" s="20"/>
      <c r="S292" s="34">
        <v>687</v>
      </c>
    </row>
    <row r="293" spans="1:19" ht="16.5" x14ac:dyDescent="0.35">
      <c r="A293" s="104" t="str">
        <f>HYPERLINK("https://www.examplebusiness.com/resource-center/lifestyle/how-much-home-can-i-afford","https://www.examplebusiness.com/resource-center/lifestyle/how-much-home-can-i-afford")</f>
        <v>https://www.examplebusiness.com/resource-center/lifestyle/how-much-home-can-i-afford</v>
      </c>
      <c r="B293" s="34">
        <v>200</v>
      </c>
      <c r="C293" s="34"/>
      <c r="D293" s="20" t="s">
        <v>2318</v>
      </c>
      <c r="E293" s="34" t="s">
        <v>691</v>
      </c>
      <c r="F293" s="34">
        <v>43</v>
      </c>
      <c r="G293" s="34">
        <v>406</v>
      </c>
      <c r="H293" s="20"/>
      <c r="I293" s="20"/>
      <c r="J293" s="34" t="s">
        <v>694</v>
      </c>
      <c r="K293" s="34">
        <v>0</v>
      </c>
      <c r="L293" s="34">
        <v>0</v>
      </c>
      <c r="M293" s="20"/>
      <c r="N293" s="102" t="s">
        <v>1199</v>
      </c>
      <c r="O293" s="20"/>
      <c r="P293" s="20" t="s">
        <v>843</v>
      </c>
      <c r="Q293" s="20" t="s">
        <v>845</v>
      </c>
      <c r="R293" s="20"/>
      <c r="S293" s="34">
        <v>142</v>
      </c>
    </row>
    <row r="294" spans="1:19" ht="16.5" x14ac:dyDescent="0.35">
      <c r="A294" s="104" t="str">
        <f>HYPERLINK("https://www.examplebusiness.com/resource-center/lifestyle/interested-in-a-fuel-efficient-car","https://www.examplebusiness.com/resource-center/lifestyle/interested-in-a-fuel-efficient-car")</f>
        <v>https://www.examplebusiness.com/resource-center/lifestyle/interested-in-a-fuel-efficient-car</v>
      </c>
      <c r="B294" s="34">
        <v>200</v>
      </c>
      <c r="C294" s="34"/>
      <c r="D294" s="20" t="s">
        <v>2319</v>
      </c>
      <c r="E294" s="34" t="s">
        <v>691</v>
      </c>
      <c r="F294" s="34">
        <v>51</v>
      </c>
      <c r="G294" s="34">
        <v>427</v>
      </c>
      <c r="H294" s="20"/>
      <c r="I294" s="20"/>
      <c r="J294" s="34" t="s">
        <v>694</v>
      </c>
      <c r="K294" s="34">
        <v>0</v>
      </c>
      <c r="L294" s="34">
        <v>0</v>
      </c>
      <c r="M294" s="20"/>
      <c r="N294" s="102" t="s">
        <v>1200</v>
      </c>
      <c r="O294" s="20"/>
      <c r="P294" s="20" t="s">
        <v>843</v>
      </c>
      <c r="Q294" s="20" t="s">
        <v>845</v>
      </c>
      <c r="R294" s="20"/>
      <c r="S294" s="34">
        <v>128</v>
      </c>
    </row>
    <row r="295" spans="1:19" ht="16.5" x14ac:dyDescent="0.35">
      <c r="A295" s="104" t="str">
        <f>HYPERLINK("https://www.examplebusiness.com/resource-center/lifestyle/keeping-good-records-is-good-business","https://www.examplebusiness.com/resource-center/lifestyle/keeping-good-records-is-good-business")</f>
        <v>https://www.examplebusiness.com/resource-center/lifestyle/keeping-good-records-is-good-business</v>
      </c>
      <c r="B295" s="34">
        <v>200</v>
      </c>
      <c r="C295" s="34"/>
      <c r="D295" s="20" t="s">
        <v>2320</v>
      </c>
      <c r="E295" s="34" t="s">
        <v>691</v>
      </c>
      <c r="F295" s="34">
        <v>53</v>
      </c>
      <c r="G295" s="34">
        <v>498</v>
      </c>
      <c r="H295" s="20"/>
      <c r="I295" s="20"/>
      <c r="J295" s="34" t="s">
        <v>694</v>
      </c>
      <c r="K295" s="34">
        <v>0</v>
      </c>
      <c r="L295" s="34">
        <v>0</v>
      </c>
      <c r="M295" s="20"/>
      <c r="N295" s="102" t="s">
        <v>1201</v>
      </c>
      <c r="O295" s="20"/>
      <c r="P295" s="20" t="s">
        <v>1202</v>
      </c>
      <c r="Q295" s="20" t="s">
        <v>1203</v>
      </c>
      <c r="R295" s="20"/>
      <c r="S295" s="34">
        <v>554</v>
      </c>
    </row>
    <row r="296" spans="1:19" ht="16.5" x14ac:dyDescent="0.35">
      <c r="A296" s="104" t="str">
        <f>HYPERLINK("https://www.examplebusiness.com/resource-center/lifestyle/lets-chat","https://www.examplebusiness.com/resource-center/lifestyle/lets-chat")</f>
        <v>https://www.examplebusiness.com/resource-center/lifestyle/lets-chat</v>
      </c>
      <c r="B296" s="34">
        <v>200</v>
      </c>
      <c r="C296" s="34"/>
      <c r="D296" s="20" t="s">
        <v>1204</v>
      </c>
      <c r="E296" s="34" t="s">
        <v>691</v>
      </c>
      <c r="F296" s="34">
        <v>10</v>
      </c>
      <c r="G296" s="34">
        <v>89</v>
      </c>
      <c r="H296" s="20"/>
      <c r="I296" s="20"/>
      <c r="J296" s="34" t="s">
        <v>694</v>
      </c>
      <c r="K296" s="34">
        <v>0</v>
      </c>
      <c r="L296" s="34">
        <v>0</v>
      </c>
      <c r="M296" s="20"/>
      <c r="N296" s="102" t="s">
        <v>2522</v>
      </c>
      <c r="O296" s="20"/>
      <c r="P296" s="20" t="s">
        <v>843</v>
      </c>
      <c r="Q296" s="20" t="s">
        <v>845</v>
      </c>
      <c r="R296" s="20"/>
      <c r="S296" s="34">
        <v>115</v>
      </c>
    </row>
    <row r="297" spans="1:19" ht="16.5" x14ac:dyDescent="0.35">
      <c r="A297" s="104" t="str">
        <f>HYPERLINK("https://www.examplebusiness.com/resource-center/lifestyle/lots-of-variables-with-fixed-rate-mortgages","https://www.examplebusiness.com/resource-center/lifestyle/lots-of-variables-with-fixed-rate-mortgages")</f>
        <v>https://www.examplebusiness.com/resource-center/lifestyle/lots-of-variables-with-fixed-rate-mortgages</v>
      </c>
      <c r="B297" s="34">
        <v>200</v>
      </c>
      <c r="C297" s="34"/>
      <c r="D297" s="20" t="s">
        <v>2321</v>
      </c>
      <c r="E297" s="34" t="s">
        <v>691</v>
      </c>
      <c r="F297" s="34">
        <v>59</v>
      </c>
      <c r="G297" s="34">
        <v>526</v>
      </c>
      <c r="H297" s="20"/>
      <c r="I297" s="20"/>
      <c r="J297" s="34" t="s">
        <v>694</v>
      </c>
      <c r="K297" s="34">
        <v>0</v>
      </c>
      <c r="L297" s="34">
        <v>0</v>
      </c>
      <c r="M297" s="20"/>
      <c r="N297" s="102" t="s">
        <v>1205</v>
      </c>
      <c r="O297" s="20"/>
      <c r="P297" s="20" t="s">
        <v>843</v>
      </c>
      <c r="Q297" s="20" t="s">
        <v>845</v>
      </c>
      <c r="R297" s="20"/>
      <c r="S297" s="34">
        <v>374</v>
      </c>
    </row>
    <row r="298" spans="1:19" ht="16.5" x14ac:dyDescent="0.35">
      <c r="A298" s="104" t="str">
        <f>HYPERLINK("https://www.examplebusiness.com/resource-center/lifestyle/managing-your-lifestyle","https://www.examplebusiness.com/resource-center/lifestyle/managing-your-lifestyle")</f>
        <v>https://www.examplebusiness.com/resource-center/lifestyle/managing-your-lifestyle</v>
      </c>
      <c r="B298" s="34">
        <v>200</v>
      </c>
      <c r="C298" s="34"/>
      <c r="D298" s="20" t="s">
        <v>2322</v>
      </c>
      <c r="E298" s="34" t="s">
        <v>691</v>
      </c>
      <c r="F298" s="34">
        <v>39</v>
      </c>
      <c r="G298" s="34">
        <v>345</v>
      </c>
      <c r="H298" s="20"/>
      <c r="I298" s="20"/>
      <c r="J298" s="34" t="s">
        <v>694</v>
      </c>
      <c r="K298" s="34">
        <v>0</v>
      </c>
      <c r="L298" s="34">
        <v>0</v>
      </c>
      <c r="M298" s="20"/>
      <c r="N298" s="102" t="s">
        <v>1156</v>
      </c>
      <c r="O298" s="20"/>
      <c r="P298" s="20" t="s">
        <v>866</v>
      </c>
      <c r="Q298" s="20" t="s">
        <v>843</v>
      </c>
      <c r="R298" s="20"/>
      <c r="S298" s="34">
        <v>113</v>
      </c>
    </row>
    <row r="299" spans="1:19" ht="16.5" x14ac:dyDescent="0.35">
      <c r="A299" s="104" t="str">
        <f>HYPERLINK("https://www.examplebusiness.com/resource-center/lifestyle/managing-your-lifestyle?responsive=false","https://www.examplebusiness.com/resource-center/lifestyle/managing-your-lifestyle?responsive=false")</f>
        <v>https://www.examplebusiness.com/resource-center/lifestyle/managing-your-lifestyle?responsive=false</v>
      </c>
      <c r="B299" s="34">
        <v>200</v>
      </c>
      <c r="C299" s="34"/>
      <c r="D299" s="20" t="s">
        <v>2322</v>
      </c>
      <c r="E299" s="34" t="s">
        <v>691</v>
      </c>
      <c r="F299" s="34">
        <v>39</v>
      </c>
      <c r="G299" s="34">
        <v>345</v>
      </c>
      <c r="H299" s="20"/>
      <c r="I299" s="20"/>
      <c r="J299" s="34" t="s">
        <v>694</v>
      </c>
      <c r="K299" s="34">
        <v>0</v>
      </c>
      <c r="L299" s="34">
        <v>0</v>
      </c>
      <c r="M299" s="20"/>
      <c r="N299" s="102" t="s">
        <v>1156</v>
      </c>
      <c r="O299" s="20"/>
      <c r="P299" s="20" t="s">
        <v>866</v>
      </c>
      <c r="Q299" s="20" t="s">
        <v>843</v>
      </c>
      <c r="R299" s="20"/>
      <c r="S299" s="34">
        <v>113</v>
      </c>
    </row>
    <row r="300" spans="1:19" ht="16.5" x14ac:dyDescent="0.35">
      <c r="A300" s="104" t="str">
        <f>HYPERLINK("https://www.examplebusiness.com/resource-center/lifestyle/mastering-mobile-lingo","https://www.examplebusiness.com/resource-center/lifestyle/mastering-mobile-lingo")</f>
        <v>https://www.examplebusiness.com/resource-center/lifestyle/mastering-mobile-lingo</v>
      </c>
      <c r="B300" s="34">
        <v>200</v>
      </c>
      <c r="C300" s="34"/>
      <c r="D300" s="20" t="s">
        <v>2323</v>
      </c>
      <c r="E300" s="34" t="s">
        <v>691</v>
      </c>
      <c r="F300" s="34">
        <v>38</v>
      </c>
      <c r="G300" s="34">
        <v>337</v>
      </c>
      <c r="H300" s="20"/>
      <c r="I300" s="20"/>
      <c r="J300" s="34" t="s">
        <v>694</v>
      </c>
      <c r="K300" s="34">
        <v>0</v>
      </c>
      <c r="L300" s="34">
        <v>0</v>
      </c>
      <c r="M300" s="20"/>
      <c r="N300" s="102" t="s">
        <v>1206</v>
      </c>
      <c r="O300" s="20"/>
      <c r="P300" s="20" t="s">
        <v>843</v>
      </c>
      <c r="Q300" s="20" t="s">
        <v>845</v>
      </c>
      <c r="R300" s="20"/>
      <c r="S300" s="34">
        <v>92</v>
      </c>
    </row>
    <row r="301" spans="1:19" ht="16.5" x14ac:dyDescent="0.35">
      <c r="A301" s="104" t="str">
        <f>HYPERLINK("https://www.examplebusiness.com/resource-center/lifestyle/money-draining-food-myths","https://www.examplebusiness.com/resource-center/lifestyle/money-draining-food-myths")</f>
        <v>https://www.examplebusiness.com/resource-center/lifestyle/money-draining-food-myths</v>
      </c>
      <c r="B301" s="34">
        <v>200</v>
      </c>
      <c r="C301" s="34"/>
      <c r="D301" s="20" t="s">
        <v>2324</v>
      </c>
      <c r="E301" s="34" t="s">
        <v>691</v>
      </c>
      <c r="F301" s="34">
        <v>41</v>
      </c>
      <c r="G301" s="34">
        <v>379</v>
      </c>
      <c r="H301" s="20"/>
      <c r="I301" s="20"/>
      <c r="J301" s="34" t="s">
        <v>694</v>
      </c>
      <c r="K301" s="34">
        <v>0</v>
      </c>
      <c r="L301" s="34">
        <v>0</v>
      </c>
      <c r="M301" s="20"/>
      <c r="N301" s="102" t="s">
        <v>1207</v>
      </c>
      <c r="O301" s="20"/>
      <c r="P301" s="20" t="s">
        <v>1208</v>
      </c>
      <c r="Q301" s="20" t="s">
        <v>1209</v>
      </c>
      <c r="R301" s="20"/>
      <c r="S301" s="34">
        <v>619</v>
      </c>
    </row>
    <row r="302" spans="1:19" ht="16.5" x14ac:dyDescent="0.35">
      <c r="A302" s="104" t="str">
        <f>HYPERLINK("https://www.examplebusiness.com/resource-center/lifestyle/personal-finance-tips-for-military-families","https://www.examplebusiness.com/resource-center/lifestyle/personal-finance-tips-for-military-families")</f>
        <v>https://www.examplebusiness.com/resource-center/lifestyle/personal-finance-tips-for-military-families</v>
      </c>
      <c r="B302" s="34">
        <v>200</v>
      </c>
      <c r="C302" s="34"/>
      <c r="D302" s="20" t="s">
        <v>2325</v>
      </c>
      <c r="E302" s="34" t="s">
        <v>691</v>
      </c>
      <c r="F302" s="34">
        <v>59</v>
      </c>
      <c r="G302" s="34">
        <v>504</v>
      </c>
      <c r="H302" s="20"/>
      <c r="I302" s="20"/>
      <c r="J302" s="34" t="s">
        <v>694</v>
      </c>
      <c r="K302" s="34">
        <v>0</v>
      </c>
      <c r="L302" s="34">
        <v>0</v>
      </c>
      <c r="M302" s="20"/>
      <c r="N302" s="102" t="s">
        <v>1210</v>
      </c>
      <c r="O302" s="20"/>
      <c r="P302" s="20" t="s">
        <v>1211</v>
      </c>
      <c r="Q302" s="20" t="s">
        <v>843</v>
      </c>
      <c r="R302" s="20"/>
      <c r="S302" s="34">
        <v>715</v>
      </c>
    </row>
    <row r="303" spans="1:19" ht="16.5" x14ac:dyDescent="0.35">
      <c r="A303" s="100" t="str">
        <f>HYPERLINK("https://www.examplebusiness.com/resource-center/lifestyle/please-leave-home-without-it","https://www.examplebusiness.com/resource-center/lifestyle/please-leave-home-without-it")</f>
        <v>https://www.examplebusiness.com/resource-center/lifestyle/please-leave-home-without-it</v>
      </c>
      <c r="B303" s="34">
        <v>200</v>
      </c>
      <c r="C303" s="34"/>
      <c r="D303" s="20" t="s">
        <v>2326</v>
      </c>
      <c r="E303" s="34" t="s">
        <v>691</v>
      </c>
      <c r="F303" s="34">
        <v>44</v>
      </c>
      <c r="G303" s="101">
        <v>399</v>
      </c>
      <c r="H303" s="20"/>
      <c r="I303" s="20"/>
      <c r="J303" s="34" t="s">
        <v>694</v>
      </c>
      <c r="K303" s="34">
        <v>0</v>
      </c>
      <c r="L303" s="34">
        <v>0</v>
      </c>
      <c r="M303" s="20"/>
      <c r="N303" s="102" t="s">
        <v>1212</v>
      </c>
      <c r="O303" s="103"/>
      <c r="P303" s="20" t="s">
        <v>1213</v>
      </c>
      <c r="Q303" s="20" t="s">
        <v>843</v>
      </c>
      <c r="R303" s="20"/>
      <c r="S303" s="34">
        <v>583</v>
      </c>
    </row>
    <row r="304" spans="1:19" ht="16.5" x14ac:dyDescent="0.35">
      <c r="A304" s="104" t="str">
        <f>HYPERLINK("https://www.examplebusiness.com/resource-center/lifestyle/putting-a-price-tag-on-your-health","https://www.examplebusiness.com/resource-center/lifestyle/putting-a-price-tag-on-your-health")</f>
        <v>https://www.examplebusiness.com/resource-center/lifestyle/putting-a-price-tag-on-your-health</v>
      </c>
      <c r="B304" s="34">
        <v>200</v>
      </c>
      <c r="C304" s="34"/>
      <c r="D304" s="20" t="s">
        <v>2327</v>
      </c>
      <c r="E304" s="34" t="s">
        <v>691</v>
      </c>
      <c r="F304" s="34">
        <v>50</v>
      </c>
      <c r="G304" s="34">
        <v>442</v>
      </c>
      <c r="H304" s="20"/>
      <c r="I304" s="20"/>
      <c r="J304" s="34" t="s">
        <v>694</v>
      </c>
      <c r="K304" s="34">
        <v>0</v>
      </c>
      <c r="L304" s="34">
        <v>0</v>
      </c>
      <c r="M304" s="20"/>
      <c r="N304" s="102" t="s">
        <v>1214</v>
      </c>
      <c r="O304" s="20"/>
      <c r="P304" s="20" t="s">
        <v>843</v>
      </c>
      <c r="Q304" s="20" t="s">
        <v>845</v>
      </c>
      <c r="R304" s="20"/>
      <c r="S304" s="34">
        <v>543</v>
      </c>
    </row>
    <row r="305" spans="1:19" ht="16.5" x14ac:dyDescent="0.35">
      <c r="A305" s="104" t="str">
        <f>HYPERLINK("https://www.examplebusiness.com/resource-center/lifestyle/raising-healthy-children","https://www.examplebusiness.com/resource-center/lifestyle/raising-healthy-children")</f>
        <v>https://www.examplebusiness.com/resource-center/lifestyle/raising-healthy-children</v>
      </c>
      <c r="B305" s="34">
        <v>200</v>
      </c>
      <c r="C305" s="34"/>
      <c r="D305" s="20" t="s">
        <v>2328</v>
      </c>
      <c r="E305" s="34" t="s">
        <v>691</v>
      </c>
      <c r="F305" s="34">
        <v>40</v>
      </c>
      <c r="G305" s="34">
        <v>345</v>
      </c>
      <c r="H305" s="20"/>
      <c r="I305" s="20"/>
      <c r="J305" s="34" t="s">
        <v>694</v>
      </c>
      <c r="K305" s="34">
        <v>0</v>
      </c>
      <c r="L305" s="34">
        <v>0</v>
      </c>
      <c r="M305" s="20"/>
      <c r="N305" s="102" t="s">
        <v>1215</v>
      </c>
      <c r="O305" s="20"/>
      <c r="P305" s="20" t="s">
        <v>843</v>
      </c>
      <c r="Q305" s="20" t="s">
        <v>845</v>
      </c>
      <c r="R305" s="20"/>
      <c r="S305" s="34">
        <v>561</v>
      </c>
    </row>
    <row r="306" spans="1:19" ht="16.5" x14ac:dyDescent="0.35">
      <c r="A306" s="104" t="str">
        <f>HYPERLINK("https://www.examplebusiness.com/resource-center/lifestyle/retiring-wild-national-parks-and-you","https://www.examplebusiness.com/resource-center/lifestyle/retiring-wild-national-parks-and-you")</f>
        <v>https://www.examplebusiness.com/resource-center/lifestyle/retiring-wild-national-parks-and-you</v>
      </c>
      <c r="B306" s="34">
        <v>200</v>
      </c>
      <c r="C306" s="34"/>
      <c r="D306" s="20" t="s">
        <v>2329</v>
      </c>
      <c r="E306" s="34" t="s">
        <v>691</v>
      </c>
      <c r="F306" s="34">
        <v>53</v>
      </c>
      <c r="G306" s="34">
        <v>462</v>
      </c>
      <c r="H306" s="20"/>
      <c r="I306" s="20"/>
      <c r="J306" s="34" t="s">
        <v>694</v>
      </c>
      <c r="K306" s="34">
        <v>0</v>
      </c>
      <c r="L306" s="34">
        <v>0</v>
      </c>
      <c r="M306" s="20"/>
      <c r="N306" s="102" t="s">
        <v>1216</v>
      </c>
      <c r="O306" s="20"/>
      <c r="P306" s="20" t="s">
        <v>1217</v>
      </c>
      <c r="Q306" s="20" t="s">
        <v>1218</v>
      </c>
      <c r="R306" s="20"/>
      <c r="S306" s="34">
        <v>722</v>
      </c>
    </row>
    <row r="307" spans="1:19" ht="16.5" x14ac:dyDescent="0.35">
      <c r="A307" s="104" t="str">
        <f>HYPERLINK("https://www.examplebusiness.com/resource-center/lifestyle/saving-on-subscription-service-costs","https://www.examplebusiness.com/resource-center/lifestyle/saving-on-subscription-service-costs")</f>
        <v>https://www.examplebusiness.com/resource-center/lifestyle/saving-on-subscription-service-costs</v>
      </c>
      <c r="B307" s="34">
        <v>200</v>
      </c>
      <c r="C307" s="34"/>
      <c r="D307" s="20" t="s">
        <v>2330</v>
      </c>
      <c r="E307" s="34" t="s">
        <v>691</v>
      </c>
      <c r="F307" s="34">
        <v>52</v>
      </c>
      <c r="G307" s="34">
        <v>459</v>
      </c>
      <c r="H307" s="20"/>
      <c r="I307" s="20"/>
      <c r="J307" s="34" t="s">
        <v>694</v>
      </c>
      <c r="K307" s="34">
        <v>0</v>
      </c>
      <c r="L307" s="34">
        <v>0</v>
      </c>
      <c r="M307" s="20"/>
      <c r="N307" s="102" t="s">
        <v>1219</v>
      </c>
      <c r="O307" s="20"/>
      <c r="P307" s="20" t="s">
        <v>1220</v>
      </c>
      <c r="Q307" s="20" t="s">
        <v>843</v>
      </c>
      <c r="R307" s="20"/>
      <c r="S307" s="34">
        <v>412</v>
      </c>
    </row>
    <row r="308" spans="1:19" ht="16.5" x14ac:dyDescent="0.35">
      <c r="A308" s="104" t="str">
        <f>HYPERLINK("https://www.examplebusiness.com/resource-center/lifestyle/should-i-buy-or-lease-an-auto","https://www.examplebusiness.com/resource-center/lifestyle/should-i-buy-or-lease-an-auto")</f>
        <v>https://www.examplebusiness.com/resource-center/lifestyle/should-i-buy-or-lease-an-auto</v>
      </c>
      <c r="B308" s="34">
        <v>200</v>
      </c>
      <c r="C308" s="34"/>
      <c r="D308" s="20" t="s">
        <v>2331</v>
      </c>
      <c r="E308" s="34" t="s">
        <v>691</v>
      </c>
      <c r="F308" s="34">
        <v>46</v>
      </c>
      <c r="G308" s="34">
        <v>411</v>
      </c>
      <c r="H308" s="20"/>
      <c r="I308" s="20"/>
      <c r="J308" s="34" t="s">
        <v>694</v>
      </c>
      <c r="K308" s="34">
        <v>0</v>
      </c>
      <c r="L308" s="34">
        <v>0</v>
      </c>
      <c r="M308" s="20"/>
      <c r="N308" s="102" t="s">
        <v>1221</v>
      </c>
      <c r="O308" s="20"/>
      <c r="P308" s="20" t="s">
        <v>843</v>
      </c>
      <c r="Q308" s="20" t="s">
        <v>845</v>
      </c>
      <c r="R308" s="20"/>
      <c r="S308" s="34">
        <v>122</v>
      </c>
    </row>
    <row r="309" spans="1:19" ht="16.5" x14ac:dyDescent="0.35">
      <c r="A309" s="104" t="str">
        <f>HYPERLINK("https://www.examplebusiness.com/resource-center/lifestyle/should-i-pay-off-debt-or-invest","https://www.examplebusiness.com/resource-center/lifestyle/should-i-pay-off-debt-or-invest")</f>
        <v>https://www.examplebusiness.com/resource-center/lifestyle/should-i-pay-off-debt-or-invest</v>
      </c>
      <c r="B309" s="34">
        <v>200</v>
      </c>
      <c r="C309" s="34"/>
      <c r="D309" s="20" t="s">
        <v>2332</v>
      </c>
      <c r="E309" s="34" t="s">
        <v>691</v>
      </c>
      <c r="F309" s="34">
        <v>48</v>
      </c>
      <c r="G309" s="34">
        <v>419</v>
      </c>
      <c r="H309" s="20"/>
      <c r="I309" s="20"/>
      <c r="J309" s="34" t="s">
        <v>694</v>
      </c>
      <c r="K309" s="34">
        <v>0</v>
      </c>
      <c r="L309" s="34">
        <v>0</v>
      </c>
      <c r="M309" s="20"/>
      <c r="N309" s="102" t="s">
        <v>1222</v>
      </c>
      <c r="O309" s="20"/>
      <c r="P309" s="20" t="s">
        <v>843</v>
      </c>
      <c r="Q309" s="20" t="s">
        <v>845</v>
      </c>
      <c r="R309" s="20"/>
      <c r="S309" s="34">
        <v>128</v>
      </c>
    </row>
    <row r="310" spans="1:19" ht="16.5" x14ac:dyDescent="0.35">
      <c r="A310" s="104" t="str">
        <f>HYPERLINK("https://www.examplebusiness.com/resource-center/lifestyle/should-you-choose-a-fixed-or-variable","https://www.examplebusiness.com/resource-center/lifestyle/should-you-choose-a-fixed-or-variable")</f>
        <v>https://www.examplebusiness.com/resource-center/lifestyle/should-you-choose-a-fixed-or-variable</v>
      </c>
      <c r="B310" s="34">
        <v>200</v>
      </c>
      <c r="C310" s="34"/>
      <c r="D310" s="20" t="s">
        <v>2333</v>
      </c>
      <c r="E310" s="34" t="s">
        <v>691</v>
      </c>
      <c r="F310" s="34">
        <v>66</v>
      </c>
      <c r="G310" s="34">
        <v>598</v>
      </c>
      <c r="H310" s="20"/>
      <c r="I310" s="20"/>
      <c r="J310" s="34" t="s">
        <v>694</v>
      </c>
      <c r="K310" s="34">
        <v>0</v>
      </c>
      <c r="L310" s="34">
        <v>0</v>
      </c>
      <c r="M310" s="20"/>
      <c r="N310" s="102" t="s">
        <v>1223</v>
      </c>
      <c r="O310" s="20"/>
      <c r="P310" s="20" t="s">
        <v>1224</v>
      </c>
      <c r="Q310" s="20" t="s">
        <v>843</v>
      </c>
      <c r="R310" s="20"/>
      <c r="S310" s="34">
        <v>740</v>
      </c>
    </row>
    <row r="311" spans="1:19" ht="16.5" x14ac:dyDescent="0.35">
      <c r="A311" s="104" t="str">
        <f>HYPERLINK("https://www.examplebusiness.com/resource-center/lifestyle/stop-wasting-money","https://www.examplebusiness.com/resource-center/lifestyle/stop-wasting-money")</f>
        <v>https://www.examplebusiness.com/resource-center/lifestyle/stop-wasting-money</v>
      </c>
      <c r="B311" s="34">
        <v>200</v>
      </c>
      <c r="C311" s="34"/>
      <c r="D311" s="20" t="s">
        <v>2334</v>
      </c>
      <c r="E311" s="34" t="s">
        <v>691</v>
      </c>
      <c r="F311" s="34">
        <v>34</v>
      </c>
      <c r="G311" s="34">
        <v>316</v>
      </c>
      <c r="H311" s="20"/>
      <c r="I311" s="20"/>
      <c r="J311" s="34" t="s">
        <v>694</v>
      </c>
      <c r="K311" s="34">
        <v>0</v>
      </c>
      <c r="L311" s="34">
        <v>0</v>
      </c>
      <c r="M311" s="20"/>
      <c r="N311" s="102" t="s">
        <v>1225</v>
      </c>
      <c r="O311" s="20"/>
      <c r="P311" s="20" t="s">
        <v>1226</v>
      </c>
      <c r="Q311" s="20" t="s">
        <v>843</v>
      </c>
      <c r="R311" s="20"/>
      <c r="S311" s="34">
        <v>597</v>
      </c>
    </row>
    <row r="312" spans="1:19" ht="16.5" x14ac:dyDescent="0.35">
      <c r="A312" s="104" t="str">
        <f>HYPERLINK("https://www.examplebusiness.com/resource-center/lifestyle/suddenly-single-3-steps-to-take-now","https://www.examplebusiness.com/resource-center/lifestyle/suddenly-single-3-steps-to-take-now")</f>
        <v>https://www.examplebusiness.com/resource-center/lifestyle/suddenly-single-3-steps-to-take-now</v>
      </c>
      <c r="B312" s="34">
        <v>200</v>
      </c>
      <c r="C312" s="34"/>
      <c r="D312" s="20" t="s">
        <v>2335</v>
      </c>
      <c r="E312" s="34" t="s">
        <v>691</v>
      </c>
      <c r="F312" s="34">
        <v>52</v>
      </c>
      <c r="G312" s="34">
        <v>470</v>
      </c>
      <c r="H312" s="20"/>
      <c r="I312" s="20"/>
      <c r="J312" s="34" t="s">
        <v>694</v>
      </c>
      <c r="K312" s="34">
        <v>0</v>
      </c>
      <c r="L312" s="34">
        <v>0</v>
      </c>
      <c r="M312" s="20"/>
      <c r="N312" s="102" t="s">
        <v>1227</v>
      </c>
      <c r="O312" s="20"/>
      <c r="P312" s="20" t="s">
        <v>843</v>
      </c>
      <c r="Q312" s="20" t="s">
        <v>845</v>
      </c>
      <c r="R312" s="20"/>
      <c r="S312" s="34">
        <v>112</v>
      </c>
    </row>
    <row r="313" spans="1:19" ht="16.5" x14ac:dyDescent="0.35">
      <c r="A313" s="104" t="str">
        <f>HYPERLINK("https://www.examplebusiness.com/resource-center/lifestyle/surprises-advisormercial","https://www.examplebusiness.com/resource-center/lifestyle/surprises-advisormercial")</f>
        <v>https://www.examplebusiness.com/resource-center/lifestyle/surprises-advisormercial</v>
      </c>
      <c r="B313" s="34">
        <v>200</v>
      </c>
      <c r="C313" s="34"/>
      <c r="D313" s="20" t="s">
        <v>2336</v>
      </c>
      <c r="E313" s="34" t="s">
        <v>691</v>
      </c>
      <c r="F313" s="34">
        <v>25</v>
      </c>
      <c r="G313" s="34">
        <v>216</v>
      </c>
      <c r="H313" s="20"/>
      <c r="I313" s="20"/>
      <c r="J313" s="34" t="s">
        <v>694</v>
      </c>
      <c r="K313" s="34">
        <v>0</v>
      </c>
      <c r="L313" s="34">
        <v>0</v>
      </c>
      <c r="M313" s="20"/>
      <c r="N313" s="102" t="s">
        <v>1228</v>
      </c>
      <c r="O313" s="20"/>
      <c r="P313" s="20" t="s">
        <v>843</v>
      </c>
      <c r="Q313" s="20" t="s">
        <v>845</v>
      </c>
      <c r="R313" s="20"/>
      <c r="S313" s="34">
        <v>103</v>
      </c>
    </row>
    <row r="314" spans="1:19" ht="16.5" x14ac:dyDescent="0.35">
      <c r="A314" s="104" t="str">
        <f>HYPERLINK("https://www.examplebusiness.com/resource-center/lifestyle/the-Example-literacy-crisis","https://www.examplebusiness.com/resource-center/lifestyle/the-Example-literacy-crisis")</f>
        <v>https://www.examplebusiness.com/resource-center/lifestyle/the-Example-literacy-crisis</v>
      </c>
      <c r="B314" s="34">
        <v>200</v>
      </c>
      <c r="C314" s="34"/>
      <c r="D314" s="20" t="s">
        <v>2523</v>
      </c>
      <c r="E314" s="34" t="s">
        <v>691</v>
      </c>
      <c r="F314" s="34">
        <v>45</v>
      </c>
      <c r="G314" s="34">
        <v>379</v>
      </c>
      <c r="H314" s="20"/>
      <c r="I314" s="20"/>
      <c r="J314" s="34" t="s">
        <v>694</v>
      </c>
      <c r="K314" s="34">
        <v>0</v>
      </c>
      <c r="L314" s="34">
        <v>0</v>
      </c>
      <c r="M314" s="20"/>
      <c r="N314" s="102" t="s">
        <v>2524</v>
      </c>
      <c r="O314" s="20"/>
      <c r="P314" s="20" t="s">
        <v>843</v>
      </c>
      <c r="Q314" s="20" t="s">
        <v>845</v>
      </c>
      <c r="R314" s="20"/>
      <c r="S314" s="34">
        <v>509</v>
      </c>
    </row>
    <row r="315" spans="1:19" ht="16.5" x14ac:dyDescent="0.35">
      <c r="A315" s="104" t="str">
        <f>HYPERLINK("https://www.examplebusiness.com/resource-center/lifestyle/the-richest-man-in-babylon","https://www.examplebusiness.com/resource-center/lifestyle/the-richest-man-in-babylon")</f>
        <v>https://www.examplebusiness.com/resource-center/lifestyle/the-richest-man-in-babylon</v>
      </c>
      <c r="B315" s="34">
        <v>200</v>
      </c>
      <c r="C315" s="34"/>
      <c r="D315" s="20" t="s">
        <v>2337</v>
      </c>
      <c r="E315" s="34" t="s">
        <v>691</v>
      </c>
      <c r="F315" s="34">
        <v>42</v>
      </c>
      <c r="G315" s="34">
        <v>377</v>
      </c>
      <c r="H315" s="20"/>
      <c r="I315" s="20"/>
      <c r="J315" s="34" t="s">
        <v>694</v>
      </c>
      <c r="K315" s="34">
        <v>0</v>
      </c>
      <c r="L315" s="34">
        <v>0</v>
      </c>
      <c r="M315" s="20"/>
      <c r="N315" s="102" t="s">
        <v>1229</v>
      </c>
      <c r="O315" s="20"/>
      <c r="P315" s="20" t="s">
        <v>843</v>
      </c>
      <c r="Q315" s="20" t="s">
        <v>845</v>
      </c>
      <c r="R315" s="20"/>
      <c r="S315" s="34">
        <v>106</v>
      </c>
    </row>
    <row r="316" spans="1:19" ht="16.5" x14ac:dyDescent="0.35">
      <c r="A316" s="104" t="str">
        <f>HYPERLINK("https://www.examplebusiness.com/resource-center/lifestyle/tips-to-prevent-marital-rift","https://www.examplebusiness.com/resource-center/lifestyle/tips-to-prevent-marital-rift")</f>
        <v>https://www.examplebusiness.com/resource-center/lifestyle/tips-to-prevent-marital-rift</v>
      </c>
      <c r="B316" s="34">
        <v>200</v>
      </c>
      <c r="C316" s="34"/>
      <c r="D316" s="20" t="s">
        <v>2338</v>
      </c>
      <c r="E316" s="34" t="s">
        <v>691</v>
      </c>
      <c r="F316" s="34">
        <v>56</v>
      </c>
      <c r="G316" s="34">
        <v>503</v>
      </c>
      <c r="H316" s="20"/>
      <c r="I316" s="20"/>
      <c r="J316" s="34" t="s">
        <v>694</v>
      </c>
      <c r="K316" s="34">
        <v>0</v>
      </c>
      <c r="L316" s="34">
        <v>0</v>
      </c>
      <c r="M316" s="20"/>
      <c r="N316" s="102" t="s">
        <v>1230</v>
      </c>
      <c r="O316" s="20"/>
      <c r="P316" s="20" t="s">
        <v>1231</v>
      </c>
      <c r="Q316" s="20" t="s">
        <v>843</v>
      </c>
      <c r="R316" s="20"/>
      <c r="S316" s="34">
        <v>608</v>
      </c>
    </row>
    <row r="317" spans="1:19" ht="16.5" x14ac:dyDescent="0.35">
      <c r="A317" s="104" t="str">
        <f>HYPERLINK("https://www.examplebusiness.com/resource-center/lifestyle/to-buy-or-not-to-buy","https://www.examplebusiness.com/resource-center/lifestyle/to-buy-or-not-to-buy")</f>
        <v>https://www.examplebusiness.com/resource-center/lifestyle/to-buy-or-not-to-buy</v>
      </c>
      <c r="B317" s="34">
        <v>200</v>
      </c>
      <c r="C317" s="34"/>
      <c r="D317" s="20" t="s">
        <v>2339</v>
      </c>
      <c r="E317" s="34" t="s">
        <v>691</v>
      </c>
      <c r="F317" s="34">
        <v>36</v>
      </c>
      <c r="G317" s="34">
        <v>317</v>
      </c>
      <c r="H317" s="20"/>
      <c r="I317" s="20"/>
      <c r="J317" s="34" t="s">
        <v>694</v>
      </c>
      <c r="K317" s="34">
        <v>0</v>
      </c>
      <c r="L317" s="34">
        <v>0</v>
      </c>
      <c r="M317" s="20"/>
      <c r="N317" s="102" t="s">
        <v>1232</v>
      </c>
      <c r="O317" s="20"/>
      <c r="P317" s="20" t="s">
        <v>843</v>
      </c>
      <c r="Q317" s="20" t="s">
        <v>845</v>
      </c>
      <c r="R317" s="20"/>
      <c r="S317" s="34">
        <v>99</v>
      </c>
    </row>
    <row r="318" spans="1:19" ht="16.5" x14ac:dyDescent="0.35">
      <c r="A318" s="104" t="str">
        <f>HYPERLINK("https://www.examplebusiness.com/resource-center/lifestyle/to-catch-a-thief","https://www.examplebusiness.com/resource-center/lifestyle/to-catch-a-thief")</f>
        <v>https://www.examplebusiness.com/resource-center/lifestyle/to-catch-a-thief</v>
      </c>
      <c r="B318" s="34">
        <v>200</v>
      </c>
      <c r="C318" s="34"/>
      <c r="D318" s="20" t="s">
        <v>2340</v>
      </c>
      <c r="E318" s="34" t="s">
        <v>691</v>
      </c>
      <c r="F318" s="34">
        <v>32</v>
      </c>
      <c r="G318" s="34">
        <v>279</v>
      </c>
      <c r="H318" s="20"/>
      <c r="I318" s="20"/>
      <c r="J318" s="34" t="s">
        <v>694</v>
      </c>
      <c r="K318" s="34">
        <v>0</v>
      </c>
      <c r="L318" s="34">
        <v>0</v>
      </c>
      <c r="M318" s="20"/>
      <c r="N318" s="102" t="s">
        <v>1233</v>
      </c>
      <c r="O318" s="20"/>
      <c r="P318" s="20" t="s">
        <v>1234</v>
      </c>
      <c r="Q318" s="20" t="s">
        <v>843</v>
      </c>
      <c r="R318" s="20"/>
      <c r="S318" s="34">
        <v>658</v>
      </c>
    </row>
    <row r="319" spans="1:19" ht="16.5" x14ac:dyDescent="0.35">
      <c r="A319" s="104" t="str">
        <f>HYPERLINK("https://www.examplebusiness.com/resource-center/lifestyle/top-new-digital-tools-for-small-businesses","https://www.examplebusiness.com/resource-center/lifestyle/top-new-digital-tools-for-small-businesses")</f>
        <v>https://www.examplebusiness.com/resource-center/lifestyle/top-new-digital-tools-for-small-businesses</v>
      </c>
      <c r="B319" s="34">
        <v>200</v>
      </c>
      <c r="C319" s="34"/>
      <c r="D319" s="20" t="s">
        <v>2341</v>
      </c>
      <c r="E319" s="34" t="s">
        <v>691</v>
      </c>
      <c r="F319" s="34">
        <v>58</v>
      </c>
      <c r="G319" s="34">
        <v>515</v>
      </c>
      <c r="H319" s="20"/>
      <c r="I319" s="20"/>
      <c r="J319" s="34" t="s">
        <v>694</v>
      </c>
      <c r="K319" s="34">
        <v>0</v>
      </c>
      <c r="L319" s="34">
        <v>0</v>
      </c>
      <c r="M319" s="20"/>
      <c r="N319" s="102" t="s">
        <v>1235</v>
      </c>
      <c r="O319" s="20"/>
      <c r="P319" s="20" t="s">
        <v>1236</v>
      </c>
      <c r="Q319" s="20" t="s">
        <v>843</v>
      </c>
      <c r="R319" s="20"/>
      <c r="S319" s="34">
        <v>512</v>
      </c>
    </row>
    <row r="320" spans="1:19" ht="16.5" x14ac:dyDescent="0.35">
      <c r="A320" s="104" t="str">
        <f>HYPERLINK("https://www.examplebusiness.com/resource-center/lifestyle/travel-without-the-baggage","https://www.examplebusiness.com/resource-center/lifestyle/travel-without-the-baggage")</f>
        <v>https://www.examplebusiness.com/resource-center/lifestyle/travel-without-the-baggage</v>
      </c>
      <c r="B320" s="34">
        <v>200</v>
      </c>
      <c r="C320" s="34"/>
      <c r="D320" s="20" t="s">
        <v>2342</v>
      </c>
      <c r="E320" s="34" t="s">
        <v>691</v>
      </c>
      <c r="F320" s="34">
        <v>43</v>
      </c>
      <c r="G320" s="34">
        <v>383</v>
      </c>
      <c r="H320" s="20"/>
      <c r="I320" s="20"/>
      <c r="J320" s="34" t="s">
        <v>694</v>
      </c>
      <c r="K320" s="34">
        <v>0</v>
      </c>
      <c r="L320" s="34">
        <v>0</v>
      </c>
      <c r="M320" s="20"/>
      <c r="N320" s="102" t="s">
        <v>1237</v>
      </c>
      <c r="O320" s="20"/>
      <c r="P320" s="20" t="s">
        <v>1238</v>
      </c>
      <c r="Q320" s="20" t="s">
        <v>843</v>
      </c>
      <c r="R320" s="20"/>
      <c r="S320" s="34">
        <v>444</v>
      </c>
    </row>
    <row r="321" spans="1:19" ht="16.5" x14ac:dyDescent="0.35">
      <c r="A321" s="104" t="str">
        <f>HYPERLINK("https://www.examplebusiness.com/resource-center/lifestyle/what-to-do-when-you-lose-your-wallet","https://www.examplebusiness.com/resource-center/lifestyle/what-to-do-when-you-lose-your-wallet")</f>
        <v>https://www.examplebusiness.com/resource-center/lifestyle/what-to-do-when-you-lose-your-wallet</v>
      </c>
      <c r="B321" s="34">
        <v>200</v>
      </c>
      <c r="C321" s="34"/>
      <c r="D321" s="20" t="s">
        <v>2343</v>
      </c>
      <c r="E321" s="34" t="s">
        <v>691</v>
      </c>
      <c r="F321" s="34">
        <v>52</v>
      </c>
      <c r="G321" s="34">
        <v>488</v>
      </c>
      <c r="H321" s="20"/>
      <c r="I321" s="20"/>
      <c r="J321" s="34" t="s">
        <v>694</v>
      </c>
      <c r="K321" s="34">
        <v>0</v>
      </c>
      <c r="L321" s="34">
        <v>0</v>
      </c>
      <c r="M321" s="20"/>
      <c r="N321" s="102" t="s">
        <v>1239</v>
      </c>
      <c r="O321" s="20"/>
      <c r="P321" s="20" t="s">
        <v>843</v>
      </c>
      <c r="Q321" s="20" t="s">
        <v>845</v>
      </c>
      <c r="R321" s="20"/>
      <c r="S321" s="34">
        <v>118</v>
      </c>
    </row>
    <row r="322" spans="1:19" ht="16.5" x14ac:dyDescent="0.35">
      <c r="A322" s="104" t="str">
        <f>HYPERLINK("https://www.examplebusiness.com/resource-center/money","https://www.examplebusiness.com/resource-center/money")</f>
        <v>https://www.examplebusiness.com/resource-center/money</v>
      </c>
      <c r="B322" s="34">
        <v>200</v>
      </c>
      <c r="C322" s="34"/>
      <c r="D322" s="20" t="s">
        <v>2344</v>
      </c>
      <c r="E322" s="34" t="s">
        <v>691</v>
      </c>
      <c r="F322" s="34">
        <v>21</v>
      </c>
      <c r="G322" s="34">
        <v>192</v>
      </c>
      <c r="H322" s="20"/>
      <c r="I322" s="20"/>
      <c r="J322" s="34" t="s">
        <v>694</v>
      </c>
      <c r="K322" s="34">
        <v>0</v>
      </c>
      <c r="L322" s="34">
        <v>0</v>
      </c>
      <c r="M322" s="20"/>
      <c r="N322" s="102" t="s">
        <v>1240</v>
      </c>
      <c r="O322" s="20"/>
      <c r="P322" s="20" t="s">
        <v>1241</v>
      </c>
      <c r="Q322" s="20" t="s">
        <v>1242</v>
      </c>
      <c r="R322" s="20"/>
      <c r="S322" s="34">
        <v>817</v>
      </c>
    </row>
    <row r="323" spans="1:19" ht="16.5" x14ac:dyDescent="0.35">
      <c r="A323" s="104" t="str">
        <f>HYPERLINK("https://www.examplebusiness.com/resource-center/money/a-penny-saved-is-two-pennies-earned","https://www.examplebusiness.com/resource-center/money/a-penny-saved-is-two-pennies-earned")</f>
        <v>https://www.examplebusiness.com/resource-center/money/a-penny-saved-is-two-pennies-earned</v>
      </c>
      <c r="B323" s="34">
        <v>200</v>
      </c>
      <c r="C323" s="34"/>
      <c r="D323" s="20" t="s">
        <v>2345</v>
      </c>
      <c r="E323" s="34" t="s">
        <v>691</v>
      </c>
      <c r="F323" s="34">
        <v>51</v>
      </c>
      <c r="G323" s="34">
        <v>475</v>
      </c>
      <c r="H323" s="20"/>
      <c r="I323" s="20"/>
      <c r="J323" s="34" t="s">
        <v>694</v>
      </c>
      <c r="K323" s="34">
        <v>0</v>
      </c>
      <c r="L323" s="34">
        <v>0</v>
      </c>
      <c r="M323" s="20"/>
      <c r="N323" s="102" t="s">
        <v>1243</v>
      </c>
      <c r="O323" s="20"/>
      <c r="P323" s="20" t="s">
        <v>1244</v>
      </c>
      <c r="Q323" s="20" t="s">
        <v>1245</v>
      </c>
      <c r="R323" s="20"/>
      <c r="S323" s="34">
        <v>554</v>
      </c>
    </row>
    <row r="324" spans="1:19" ht="16.5" x14ac:dyDescent="0.35">
      <c r="A324" s="104" t="str">
        <f>HYPERLINK("https://www.examplebusiness.com/resource-center/money/budget-check-up-tax-time-is-the-right-time","https://www.examplebusiness.com/resource-center/money/budget-check-up-tax-time-is-the-right-time")</f>
        <v>https://www.examplebusiness.com/resource-center/money/budget-check-up-tax-time-is-the-right-time</v>
      </c>
      <c r="B324" s="34">
        <v>200</v>
      </c>
      <c r="C324" s="34"/>
      <c r="D324" s="20" t="s">
        <v>2346</v>
      </c>
      <c r="E324" s="34" t="s">
        <v>691</v>
      </c>
      <c r="F324" s="34">
        <v>59</v>
      </c>
      <c r="G324" s="34">
        <v>534</v>
      </c>
      <c r="H324" s="20"/>
      <c r="I324" s="20"/>
      <c r="J324" s="34" t="s">
        <v>694</v>
      </c>
      <c r="K324" s="34">
        <v>0</v>
      </c>
      <c r="L324" s="34">
        <v>0</v>
      </c>
      <c r="M324" s="20"/>
      <c r="N324" s="102" t="s">
        <v>1246</v>
      </c>
      <c r="O324" s="20"/>
      <c r="P324" s="20" t="s">
        <v>1247</v>
      </c>
      <c r="Q324" s="20" t="s">
        <v>843</v>
      </c>
      <c r="R324" s="20"/>
      <c r="S324" s="34">
        <v>627</v>
      </c>
    </row>
    <row r="325" spans="1:19" ht="16.5" x14ac:dyDescent="0.35">
      <c r="A325" s="104" t="str">
        <f>HYPERLINK("https://www.examplebusiness.com/resource-center/money/budgeting-after-a-divorce-1","https://www.examplebusiness.com/resource-center/money/budgeting-after-a-divorce-1")</f>
        <v>https://www.examplebusiness.com/resource-center/money/budgeting-after-a-divorce-1</v>
      </c>
      <c r="B325" s="34">
        <v>200</v>
      </c>
      <c r="C325" s="34"/>
      <c r="D325" s="20" t="s">
        <v>2347</v>
      </c>
      <c r="E325" s="34" t="s">
        <v>691</v>
      </c>
      <c r="F325" s="34">
        <v>41</v>
      </c>
      <c r="G325" s="34">
        <v>358</v>
      </c>
      <c r="H325" s="20"/>
      <c r="I325" s="20"/>
      <c r="J325" s="34" t="s">
        <v>694</v>
      </c>
      <c r="K325" s="34">
        <v>0</v>
      </c>
      <c r="L325" s="34">
        <v>0</v>
      </c>
      <c r="M325" s="20"/>
      <c r="N325" s="102" t="s">
        <v>1248</v>
      </c>
      <c r="O325" s="20"/>
      <c r="P325" s="20" t="s">
        <v>843</v>
      </c>
      <c r="Q325" s="20" t="s">
        <v>845</v>
      </c>
      <c r="R325" s="20"/>
      <c r="S325" s="34">
        <v>103</v>
      </c>
    </row>
    <row r="326" spans="1:19" ht="16.5" x14ac:dyDescent="0.35">
      <c r="A326" s="104" t="str">
        <f>HYPERLINK("https://www.examplebusiness.com/resource-center/money/buying-vs-leasing-a-car","https://www.examplebusiness.com/resource-center/money/buying-vs-leasing-a-car")</f>
        <v>https://www.examplebusiness.com/resource-center/money/buying-vs-leasing-a-car</v>
      </c>
      <c r="B326" s="34">
        <v>200</v>
      </c>
      <c r="C326" s="34"/>
      <c r="D326" s="20" t="s">
        <v>2348</v>
      </c>
      <c r="E326" s="34" t="s">
        <v>691</v>
      </c>
      <c r="F326" s="34">
        <v>40</v>
      </c>
      <c r="G326" s="34">
        <v>351</v>
      </c>
      <c r="H326" s="20"/>
      <c r="I326" s="20"/>
      <c r="J326" s="34" t="s">
        <v>694</v>
      </c>
      <c r="K326" s="34">
        <v>0</v>
      </c>
      <c r="L326" s="34">
        <v>0</v>
      </c>
      <c r="M326" s="20"/>
      <c r="N326" s="102" t="s">
        <v>1249</v>
      </c>
      <c r="O326" s="20"/>
      <c r="P326" s="20" t="s">
        <v>843</v>
      </c>
      <c r="Q326" s="20" t="s">
        <v>845</v>
      </c>
      <c r="R326" s="20"/>
      <c r="S326" s="34">
        <v>686</v>
      </c>
    </row>
    <row r="327" spans="1:19" ht="16.5" x14ac:dyDescent="0.35">
      <c r="A327" s="104" t="str">
        <f>HYPERLINK("https://www.examplebusiness.com/resource-center/money/countering-counterfeit-currency","https://www.examplebusiness.com/resource-center/money/countering-counterfeit-currency")</f>
        <v>https://www.examplebusiness.com/resource-center/money/countering-counterfeit-currency</v>
      </c>
      <c r="B327" s="34">
        <v>200</v>
      </c>
      <c r="C327" s="34"/>
      <c r="D327" s="20" t="s">
        <v>2349</v>
      </c>
      <c r="E327" s="34" t="s">
        <v>691</v>
      </c>
      <c r="F327" s="34">
        <v>47</v>
      </c>
      <c r="G327" s="34">
        <v>414</v>
      </c>
      <c r="H327" s="20"/>
      <c r="I327" s="20"/>
      <c r="J327" s="34" t="s">
        <v>694</v>
      </c>
      <c r="K327" s="34">
        <v>0</v>
      </c>
      <c r="L327" s="34">
        <v>0</v>
      </c>
      <c r="M327" s="20"/>
      <c r="N327" s="102" t="s">
        <v>1250</v>
      </c>
      <c r="O327" s="20"/>
      <c r="P327" s="20" t="s">
        <v>1251</v>
      </c>
      <c r="Q327" s="20" t="s">
        <v>843</v>
      </c>
      <c r="R327" s="20"/>
      <c r="S327" s="34">
        <v>545</v>
      </c>
    </row>
    <row r="328" spans="1:19" ht="16.5" x14ac:dyDescent="0.35">
      <c r="A328" s="104" t="str">
        <f>HYPERLINK("https://www.examplebusiness.com/resource-center/money/doubling-your-money","https://www.examplebusiness.com/resource-center/money/doubling-your-money")</f>
        <v>https://www.examplebusiness.com/resource-center/money/doubling-your-money</v>
      </c>
      <c r="B328" s="34">
        <v>200</v>
      </c>
      <c r="C328" s="34"/>
      <c r="D328" s="20" t="s">
        <v>2350</v>
      </c>
      <c r="E328" s="34" t="s">
        <v>691</v>
      </c>
      <c r="F328" s="34">
        <v>35</v>
      </c>
      <c r="G328" s="34">
        <v>321</v>
      </c>
      <c r="H328" s="20"/>
      <c r="I328" s="20"/>
      <c r="J328" s="34" t="s">
        <v>694</v>
      </c>
      <c r="K328" s="34">
        <v>0</v>
      </c>
      <c r="L328" s="34">
        <v>0</v>
      </c>
      <c r="M328" s="20"/>
      <c r="N328" s="102" t="s">
        <v>1252</v>
      </c>
      <c r="O328" s="20"/>
      <c r="P328" s="20" t="s">
        <v>843</v>
      </c>
      <c r="Q328" s="20" t="s">
        <v>845</v>
      </c>
      <c r="R328" s="20"/>
      <c r="S328" s="34">
        <v>115</v>
      </c>
    </row>
    <row r="329" spans="1:19" ht="16.5" x14ac:dyDescent="0.35">
      <c r="A329" s="104" t="str">
        <f>HYPERLINK("https://www.examplebusiness.com/resource-center/money/historical-inflation","https://www.examplebusiness.com/resource-center/money/historical-inflation")</f>
        <v>https://www.examplebusiness.com/resource-center/money/historical-inflation</v>
      </c>
      <c r="B329" s="34">
        <v>200</v>
      </c>
      <c r="C329" s="34"/>
      <c r="D329" s="20" t="s">
        <v>2351</v>
      </c>
      <c r="E329" s="34" t="s">
        <v>691</v>
      </c>
      <c r="F329" s="34">
        <v>36</v>
      </c>
      <c r="G329" s="34">
        <v>287</v>
      </c>
      <c r="H329" s="20"/>
      <c r="I329" s="20"/>
      <c r="J329" s="34" t="s">
        <v>694</v>
      </c>
      <c r="K329" s="34">
        <v>0</v>
      </c>
      <c r="L329" s="34">
        <v>0</v>
      </c>
      <c r="M329" s="20"/>
      <c r="N329" s="102" t="s">
        <v>1253</v>
      </c>
      <c r="O329" s="20"/>
      <c r="P329" s="20" t="s">
        <v>843</v>
      </c>
      <c r="Q329" s="20" t="s">
        <v>845</v>
      </c>
      <c r="R329" s="20"/>
      <c r="S329" s="34">
        <v>118</v>
      </c>
    </row>
    <row r="330" spans="1:19" ht="16.5" x14ac:dyDescent="0.35">
      <c r="A330" s="104" t="str">
        <f>HYPERLINK("https://www.examplebusiness.com/resource-center/money/how-big-is-money","https://www.examplebusiness.com/resource-center/money/how-big-is-money")</f>
        <v>https://www.examplebusiness.com/resource-center/money/how-big-is-money</v>
      </c>
      <c r="B330" s="34">
        <v>200</v>
      </c>
      <c r="C330" s="34"/>
      <c r="D330" s="20" t="s">
        <v>2352</v>
      </c>
      <c r="E330" s="34" t="s">
        <v>691</v>
      </c>
      <c r="F330" s="34">
        <v>33</v>
      </c>
      <c r="G330" s="34">
        <v>302</v>
      </c>
      <c r="H330" s="20"/>
      <c r="I330" s="20"/>
      <c r="J330" s="34" t="s">
        <v>694</v>
      </c>
      <c r="K330" s="34">
        <v>0</v>
      </c>
      <c r="L330" s="34">
        <v>0</v>
      </c>
      <c r="M330" s="20"/>
      <c r="N330" s="102" t="s">
        <v>1254</v>
      </c>
      <c r="O330" s="20" t="s">
        <v>1255</v>
      </c>
      <c r="P330" s="20" t="s">
        <v>1256</v>
      </c>
      <c r="Q330" s="20" t="s">
        <v>1257</v>
      </c>
      <c r="R330" s="20"/>
      <c r="S330" s="34">
        <v>712</v>
      </c>
    </row>
    <row r="331" spans="1:19" ht="16.5" x14ac:dyDescent="0.35">
      <c r="A331" s="104" t="str">
        <f>HYPERLINK("https://www.examplebusiness.com/resource-center/money/how-does-your-credit-score-compare","https://www.examplebusiness.com/resource-center/money/how-does-your-credit-score-compare")</f>
        <v>https://www.examplebusiness.com/resource-center/money/how-does-your-credit-score-compare</v>
      </c>
      <c r="B331" s="34">
        <v>200</v>
      </c>
      <c r="C331" s="34"/>
      <c r="D331" s="20" t="s">
        <v>2353</v>
      </c>
      <c r="E331" s="34" t="s">
        <v>691</v>
      </c>
      <c r="F331" s="34">
        <v>51</v>
      </c>
      <c r="G331" s="34">
        <v>487</v>
      </c>
      <c r="H331" s="20"/>
      <c r="I331" s="20"/>
      <c r="J331" s="34" t="s">
        <v>694</v>
      </c>
      <c r="K331" s="34">
        <v>0</v>
      </c>
      <c r="L331" s="34">
        <v>0</v>
      </c>
      <c r="M331" s="20"/>
      <c r="N331" s="102" t="s">
        <v>1258</v>
      </c>
      <c r="O331" s="20"/>
      <c r="P331" s="20" t="s">
        <v>1259</v>
      </c>
      <c r="Q331" s="20" t="s">
        <v>843</v>
      </c>
      <c r="R331" s="20"/>
      <c r="S331" s="34">
        <v>300</v>
      </c>
    </row>
    <row r="332" spans="1:19" ht="16.5" x14ac:dyDescent="0.35">
      <c r="A332" s="104" t="str">
        <f>HYPERLINK("https://www.examplebusiness.com/resource-center/money/keeping-up-with-the-joneses","https://www.examplebusiness.com/resource-center/money/keeping-up-with-the-joneses")</f>
        <v>https://www.examplebusiness.com/resource-center/money/keeping-up-with-the-joneses</v>
      </c>
      <c r="B332" s="34">
        <v>200</v>
      </c>
      <c r="C332" s="34"/>
      <c r="D332" s="20" t="s">
        <v>1260</v>
      </c>
      <c r="E332" s="34" t="s">
        <v>691</v>
      </c>
      <c r="F332" s="34">
        <v>27</v>
      </c>
      <c r="G332" s="34">
        <v>246</v>
      </c>
      <c r="H332" s="20"/>
      <c r="I332" s="20"/>
      <c r="J332" s="34" t="s">
        <v>694</v>
      </c>
      <c r="K332" s="34">
        <v>0</v>
      </c>
      <c r="L332" s="34">
        <v>0</v>
      </c>
      <c r="M332" s="20"/>
      <c r="N332" s="102" t="s">
        <v>1261</v>
      </c>
      <c r="O332" s="20"/>
      <c r="P332" s="20" t="s">
        <v>843</v>
      </c>
      <c r="Q332" s="20" t="s">
        <v>845</v>
      </c>
      <c r="R332" s="20"/>
      <c r="S332" s="34">
        <v>114</v>
      </c>
    </row>
    <row r="333" spans="1:19" ht="16.5" x14ac:dyDescent="0.35">
      <c r="A333" s="104" t="str">
        <f>HYPERLINK("https://www.examplebusiness.com/resource-center/money/life-and-death-of-a-20-dollar-bill","https://www.examplebusiness.com/resource-center/money/life-and-death-of-a-20-dollar-bill")</f>
        <v>https://www.examplebusiness.com/resource-center/money/life-and-death-of-a-20-dollar-bill</v>
      </c>
      <c r="B333" s="34">
        <v>200</v>
      </c>
      <c r="C333" s="34"/>
      <c r="D333" s="20" t="s">
        <v>1262</v>
      </c>
      <c r="E333" s="34" t="s">
        <v>691</v>
      </c>
      <c r="F333" s="34">
        <v>28</v>
      </c>
      <c r="G333" s="34">
        <v>238</v>
      </c>
      <c r="H333" s="20"/>
      <c r="I333" s="20"/>
      <c r="J333" s="34" t="s">
        <v>694</v>
      </c>
      <c r="K333" s="34">
        <v>0</v>
      </c>
      <c r="L333" s="34">
        <v>0</v>
      </c>
      <c r="M333" s="20"/>
      <c r="N333" s="102" t="s">
        <v>1263</v>
      </c>
      <c r="O333" s="20"/>
      <c r="P333" s="20" t="s">
        <v>1264</v>
      </c>
      <c r="Q333" s="20" t="s">
        <v>1265</v>
      </c>
      <c r="R333" s="20"/>
      <c r="S333" s="34">
        <v>819</v>
      </c>
    </row>
    <row r="334" spans="1:19" ht="16.5" x14ac:dyDescent="0.35">
      <c r="A334" s="104" t="str">
        <f>HYPERLINK("https://www.examplebusiness.com/resource-center/money/mortgages-in-retirement","https://www.examplebusiness.com/resource-center/money/mortgages-in-retirement")</f>
        <v>https://www.examplebusiness.com/resource-center/money/mortgages-in-retirement</v>
      </c>
      <c r="B334" s="34">
        <v>200</v>
      </c>
      <c r="C334" s="34"/>
      <c r="D334" s="20" t="s">
        <v>2354</v>
      </c>
      <c r="E334" s="34" t="s">
        <v>691</v>
      </c>
      <c r="F334" s="34">
        <v>39</v>
      </c>
      <c r="G334" s="34">
        <v>350</v>
      </c>
      <c r="H334" s="20"/>
      <c r="I334" s="20"/>
      <c r="J334" s="34" t="s">
        <v>694</v>
      </c>
      <c r="K334" s="34">
        <v>0</v>
      </c>
      <c r="L334" s="34">
        <v>0</v>
      </c>
      <c r="M334" s="20"/>
      <c r="N334" s="102" t="s">
        <v>1266</v>
      </c>
      <c r="O334" s="20"/>
      <c r="P334" s="20" t="s">
        <v>1267</v>
      </c>
      <c r="Q334" s="20" t="s">
        <v>1268</v>
      </c>
      <c r="R334" s="20"/>
      <c r="S334" s="34">
        <v>846</v>
      </c>
    </row>
    <row r="335" spans="1:19" ht="16.5" x14ac:dyDescent="0.35">
      <c r="A335" s="104" t="str">
        <f>HYPERLINK("https://www.examplebusiness.com/resource-center/money/once-upon-a-goal","https://www.examplebusiness.com/resource-center/money/once-upon-a-goal")</f>
        <v>https://www.examplebusiness.com/resource-center/money/once-upon-a-goal</v>
      </c>
      <c r="B335" s="34">
        <v>200</v>
      </c>
      <c r="C335" s="34"/>
      <c r="D335" s="20" t="s">
        <v>2355</v>
      </c>
      <c r="E335" s="34" t="s">
        <v>691</v>
      </c>
      <c r="F335" s="34">
        <v>32</v>
      </c>
      <c r="G335" s="34">
        <v>296</v>
      </c>
      <c r="H335" s="20"/>
      <c r="I335" s="20"/>
      <c r="J335" s="34" t="s">
        <v>694</v>
      </c>
      <c r="K335" s="34">
        <v>0</v>
      </c>
      <c r="L335" s="34">
        <v>0</v>
      </c>
      <c r="M335" s="20"/>
      <c r="N335" s="102" t="s">
        <v>1269</v>
      </c>
      <c r="O335" s="20"/>
      <c r="P335" s="20" t="s">
        <v>843</v>
      </c>
      <c r="Q335" s="20" t="s">
        <v>845</v>
      </c>
      <c r="R335" s="20"/>
      <c r="S335" s="34">
        <v>104</v>
      </c>
    </row>
    <row r="336" spans="1:19" ht="16.5" x14ac:dyDescent="0.35">
      <c r="A336" s="104" t="str">
        <f>HYPERLINK("https://www.examplebusiness.com/resource-center/money/password-protection-strategies","https://www.examplebusiness.com/resource-center/money/password-protection-strategies")</f>
        <v>https://www.examplebusiness.com/resource-center/money/password-protection-strategies</v>
      </c>
      <c r="B336" s="34">
        <v>200</v>
      </c>
      <c r="C336" s="34"/>
      <c r="D336" s="20" t="s">
        <v>2356</v>
      </c>
      <c r="E336" s="34" t="s">
        <v>691</v>
      </c>
      <c r="F336" s="34">
        <v>46</v>
      </c>
      <c r="G336" s="34">
        <v>412</v>
      </c>
      <c r="H336" s="20"/>
      <c r="I336" s="20"/>
      <c r="J336" s="34" t="s">
        <v>694</v>
      </c>
      <c r="K336" s="34">
        <v>0</v>
      </c>
      <c r="L336" s="34">
        <v>0</v>
      </c>
      <c r="M336" s="20"/>
      <c r="N336" s="102" t="s">
        <v>1270</v>
      </c>
      <c r="O336" s="20"/>
      <c r="P336" s="20" t="s">
        <v>1271</v>
      </c>
      <c r="Q336" s="20" t="s">
        <v>1272</v>
      </c>
      <c r="R336" s="20"/>
      <c r="S336" s="34">
        <v>727</v>
      </c>
    </row>
    <row r="337" spans="1:19" ht="16.5" x14ac:dyDescent="0.35">
      <c r="A337" s="104" t="str">
        <f>HYPERLINK("https://www.examplebusiness.com/resource-center/money/pay-yourself-first","https://www.examplebusiness.com/resource-center/money/pay-yourself-first")</f>
        <v>https://www.examplebusiness.com/resource-center/money/pay-yourself-first</v>
      </c>
      <c r="B337" s="34">
        <v>200</v>
      </c>
      <c r="C337" s="34"/>
      <c r="D337" s="20" t="s">
        <v>2357</v>
      </c>
      <c r="E337" s="34" t="s">
        <v>691</v>
      </c>
      <c r="F337" s="34">
        <v>34</v>
      </c>
      <c r="G337" s="34">
        <v>291</v>
      </c>
      <c r="H337" s="20"/>
      <c r="I337" s="20"/>
      <c r="J337" s="34" t="s">
        <v>694</v>
      </c>
      <c r="K337" s="34">
        <v>0</v>
      </c>
      <c r="L337" s="34">
        <v>0</v>
      </c>
      <c r="M337" s="20"/>
      <c r="N337" s="102" t="s">
        <v>788</v>
      </c>
      <c r="O337" s="20"/>
      <c r="P337" s="20" t="s">
        <v>1273</v>
      </c>
      <c r="Q337" s="20" t="s">
        <v>1274</v>
      </c>
      <c r="R337" s="20"/>
      <c r="S337" s="34">
        <v>684</v>
      </c>
    </row>
    <row r="338" spans="1:19" ht="16.5" x14ac:dyDescent="0.35">
      <c r="A338" s="104" t="str">
        <f>HYPERLINK("https://www.examplebusiness.com/resource-center/money/paying-off-a-credit-card","https://www.examplebusiness.com/resource-center/money/paying-off-a-credit-card")</f>
        <v>https://www.examplebusiness.com/resource-center/money/paying-off-a-credit-card</v>
      </c>
      <c r="B338" s="34">
        <v>200</v>
      </c>
      <c r="C338" s="34"/>
      <c r="D338" s="20" t="s">
        <v>2358</v>
      </c>
      <c r="E338" s="34" t="s">
        <v>691</v>
      </c>
      <c r="F338" s="34">
        <v>40</v>
      </c>
      <c r="G338" s="34">
        <v>351</v>
      </c>
      <c r="H338" s="20"/>
      <c r="I338" s="20"/>
      <c r="J338" s="34" t="s">
        <v>694</v>
      </c>
      <c r="K338" s="34">
        <v>0</v>
      </c>
      <c r="L338" s="34">
        <v>0</v>
      </c>
      <c r="M338" s="20"/>
      <c r="N338" s="102" t="s">
        <v>1275</v>
      </c>
      <c r="O338" s="20"/>
      <c r="P338" s="20" t="s">
        <v>843</v>
      </c>
      <c r="Q338" s="20" t="s">
        <v>845</v>
      </c>
      <c r="R338" s="20"/>
      <c r="S338" s="34">
        <v>131</v>
      </c>
    </row>
    <row r="339" spans="1:19" ht="16.5" x14ac:dyDescent="0.35">
      <c r="A339" s="104" t="str">
        <f>HYPERLINK("https://www.examplebusiness.com/resource-center/money/saving-for-college-101","https://www.examplebusiness.com/resource-center/money/saving-for-college-101")</f>
        <v>https://www.examplebusiness.com/resource-center/money/saving-for-college-101</v>
      </c>
      <c r="B339" s="34">
        <v>200</v>
      </c>
      <c r="C339" s="34"/>
      <c r="D339" s="20" t="s">
        <v>2359</v>
      </c>
      <c r="E339" s="34" t="s">
        <v>691</v>
      </c>
      <c r="F339" s="34">
        <v>38</v>
      </c>
      <c r="G339" s="34">
        <v>332</v>
      </c>
      <c r="H339" s="20"/>
      <c r="I339" s="20"/>
      <c r="J339" s="34" t="s">
        <v>694</v>
      </c>
      <c r="K339" s="34">
        <v>0</v>
      </c>
      <c r="L339" s="34">
        <v>0</v>
      </c>
      <c r="M339" s="20"/>
      <c r="N339" s="102" t="s">
        <v>1276</v>
      </c>
      <c r="O339" s="20"/>
      <c r="P339" s="20" t="s">
        <v>843</v>
      </c>
      <c r="Q339" s="20" t="s">
        <v>845</v>
      </c>
      <c r="R339" s="20"/>
      <c r="S339" s="34">
        <v>95</v>
      </c>
    </row>
    <row r="340" spans="1:19" ht="16.5" x14ac:dyDescent="0.35">
      <c r="A340" s="104" t="str">
        <f>HYPERLINK("https://www.examplebusiness.com/resource-center/money/spotting-credit-trouble","https://www.examplebusiness.com/resource-center/money/spotting-credit-trouble")</f>
        <v>https://www.examplebusiness.com/resource-center/money/spotting-credit-trouble</v>
      </c>
      <c r="B340" s="34">
        <v>200</v>
      </c>
      <c r="C340" s="34"/>
      <c r="D340" s="20" t="s">
        <v>2360</v>
      </c>
      <c r="E340" s="34" t="s">
        <v>691</v>
      </c>
      <c r="F340" s="34">
        <v>39</v>
      </c>
      <c r="G340" s="34">
        <v>336</v>
      </c>
      <c r="H340" s="20"/>
      <c r="I340" s="20"/>
      <c r="J340" s="34" t="s">
        <v>694</v>
      </c>
      <c r="K340" s="34">
        <v>0</v>
      </c>
      <c r="L340" s="34">
        <v>0</v>
      </c>
      <c r="M340" s="20"/>
      <c r="N340" s="102" t="s">
        <v>1277</v>
      </c>
      <c r="O340" s="20"/>
      <c r="P340" s="20" t="s">
        <v>843</v>
      </c>
      <c r="Q340" s="20" t="s">
        <v>845</v>
      </c>
      <c r="R340" s="20"/>
      <c r="S340" s="34">
        <v>401</v>
      </c>
    </row>
    <row r="341" spans="1:19" ht="16.5" x14ac:dyDescent="0.35">
      <c r="A341" s="104" t="str">
        <f>HYPERLINK("https://www.examplebusiness.com/resource-center/money/strategies-for-managing-student-loan-debt","https://www.examplebusiness.com/resource-center/money/strategies-for-managing-student-loan-debt")</f>
        <v>https://www.examplebusiness.com/resource-center/money/strategies-for-managing-student-loan-debt</v>
      </c>
      <c r="B341" s="34">
        <v>200</v>
      </c>
      <c r="C341" s="34"/>
      <c r="D341" s="20" t="s">
        <v>2361</v>
      </c>
      <c r="E341" s="34" t="s">
        <v>691</v>
      </c>
      <c r="F341" s="34">
        <v>57</v>
      </c>
      <c r="G341" s="34">
        <v>520</v>
      </c>
      <c r="H341" s="20"/>
      <c r="I341" s="20"/>
      <c r="J341" s="34" t="s">
        <v>694</v>
      </c>
      <c r="K341" s="34">
        <v>0</v>
      </c>
      <c r="L341" s="34">
        <v>0</v>
      </c>
      <c r="M341" s="20"/>
      <c r="N341" s="102" t="s">
        <v>1278</v>
      </c>
      <c r="O341" s="20"/>
      <c r="P341" s="20" t="s">
        <v>843</v>
      </c>
      <c r="Q341" s="20" t="s">
        <v>845</v>
      </c>
      <c r="R341" s="20"/>
      <c r="S341" s="34">
        <v>621</v>
      </c>
    </row>
    <row r="342" spans="1:19" ht="16.5" x14ac:dyDescent="0.35">
      <c r="A342" s="104" t="str">
        <f>HYPERLINK("https://www.examplebusiness.com/resource-center/money/surprise-youve-got-money","https://www.examplebusiness.com/resource-center/money/surprise-youve-got-money")</f>
        <v>https://www.examplebusiness.com/resource-center/money/surprise-youve-got-money</v>
      </c>
      <c r="B342" s="34">
        <v>200</v>
      </c>
      <c r="C342" s="34"/>
      <c r="D342" s="20" t="s">
        <v>2362</v>
      </c>
      <c r="E342" s="34" t="s">
        <v>691</v>
      </c>
      <c r="F342" s="34">
        <v>43</v>
      </c>
      <c r="G342" s="34">
        <v>387</v>
      </c>
      <c r="H342" s="20"/>
      <c r="I342" s="20"/>
      <c r="J342" s="34" t="s">
        <v>694</v>
      </c>
      <c r="K342" s="34">
        <v>0</v>
      </c>
      <c r="L342" s="34">
        <v>0</v>
      </c>
      <c r="M342" s="20"/>
      <c r="N342" s="102" t="s">
        <v>1241</v>
      </c>
      <c r="O342" s="20"/>
      <c r="P342" s="20" t="s">
        <v>843</v>
      </c>
      <c r="Q342" s="20" t="s">
        <v>845</v>
      </c>
      <c r="R342" s="20"/>
      <c r="S342" s="34">
        <v>101</v>
      </c>
    </row>
    <row r="343" spans="1:19" ht="16.5" x14ac:dyDescent="0.35">
      <c r="A343" s="104" t="str">
        <f>HYPERLINK("https://www.examplebusiness.com/resource-center/money/the-average-american-budget","https://www.examplebusiness.com/resource-center/money/the-average-american-budget")</f>
        <v>https://www.examplebusiness.com/resource-center/money/the-average-american-budget</v>
      </c>
      <c r="B343" s="34">
        <v>200</v>
      </c>
      <c r="C343" s="34"/>
      <c r="D343" s="20" t="s">
        <v>2363</v>
      </c>
      <c r="E343" s="34" t="s">
        <v>691</v>
      </c>
      <c r="F343" s="34">
        <v>43</v>
      </c>
      <c r="G343" s="34">
        <v>401</v>
      </c>
      <c r="H343" s="20"/>
      <c r="I343" s="20"/>
      <c r="J343" s="34" t="s">
        <v>694</v>
      </c>
      <c r="K343" s="34">
        <v>0</v>
      </c>
      <c r="L343" s="34">
        <v>0</v>
      </c>
      <c r="M343" s="20"/>
      <c r="N343" s="102" t="s">
        <v>1279</v>
      </c>
      <c r="O343" s="20" t="s">
        <v>1279</v>
      </c>
      <c r="P343" s="20" t="s">
        <v>843</v>
      </c>
      <c r="Q343" s="20" t="s">
        <v>845</v>
      </c>
      <c r="R343" s="20"/>
      <c r="S343" s="34">
        <v>723</v>
      </c>
    </row>
    <row r="344" spans="1:19" ht="16.5" x14ac:dyDescent="0.35">
      <c r="A344" s="104" t="str">
        <f>HYPERLINK("https://www.examplebusiness.com/resource-center/money/the-cost-of-procrastination","https://www.examplebusiness.com/resource-center/money/the-cost-of-procrastination")</f>
        <v>https://www.examplebusiness.com/resource-center/money/the-cost-of-procrastination</v>
      </c>
      <c r="B344" s="34">
        <v>200</v>
      </c>
      <c r="C344" s="34"/>
      <c r="D344" s="20" t="s">
        <v>2364</v>
      </c>
      <c r="E344" s="34" t="s">
        <v>691</v>
      </c>
      <c r="F344" s="34">
        <v>43</v>
      </c>
      <c r="G344" s="34">
        <v>373</v>
      </c>
      <c r="H344" s="20"/>
      <c r="I344" s="20"/>
      <c r="J344" s="34" t="s">
        <v>694</v>
      </c>
      <c r="K344" s="34">
        <v>0</v>
      </c>
      <c r="L344" s="34">
        <v>0</v>
      </c>
      <c r="M344" s="20"/>
      <c r="N344" s="102" t="s">
        <v>1280</v>
      </c>
      <c r="O344" s="20"/>
      <c r="P344" s="20" t="s">
        <v>843</v>
      </c>
      <c r="Q344" s="20" t="s">
        <v>845</v>
      </c>
      <c r="R344" s="20"/>
      <c r="S344" s="34">
        <v>105</v>
      </c>
    </row>
    <row r="345" spans="1:19" ht="16.5" x14ac:dyDescent="0.35">
      <c r="A345" s="104" t="str">
        <f>HYPERLINK("https://www.examplebusiness.com/resource-center/money/the-economic-journey-of-coffee","https://www.examplebusiness.com/resource-center/money/the-economic-journey-of-coffee")</f>
        <v>https://www.examplebusiness.com/resource-center/money/the-economic-journey-of-coffee</v>
      </c>
      <c r="B345" s="34">
        <v>200</v>
      </c>
      <c r="C345" s="34"/>
      <c r="D345" s="20" t="s">
        <v>2365</v>
      </c>
      <c r="E345" s="34" t="s">
        <v>691</v>
      </c>
      <c r="F345" s="34">
        <v>59</v>
      </c>
      <c r="G345" s="34">
        <v>544</v>
      </c>
      <c r="H345" s="20"/>
      <c r="I345" s="20"/>
      <c r="J345" s="34" t="s">
        <v>694</v>
      </c>
      <c r="K345" s="34">
        <v>0</v>
      </c>
      <c r="L345" s="34">
        <v>0</v>
      </c>
      <c r="M345" s="20"/>
      <c r="N345" s="102" t="s">
        <v>1281</v>
      </c>
      <c r="O345" s="20"/>
      <c r="P345" s="20" t="s">
        <v>843</v>
      </c>
      <c r="Q345" s="20" t="s">
        <v>845</v>
      </c>
      <c r="R345" s="20"/>
      <c r="S345" s="34">
        <v>514</v>
      </c>
    </row>
    <row r="346" spans="1:19" ht="16.5" x14ac:dyDescent="0.35">
      <c r="A346" s="104" t="str">
        <f>HYPERLINK("https://www.examplebusiness.com/resource-center/money/the-five-basics-of-Example-literacy","https://www.examplebusiness.com/resource-center/money/the-five-basics-of-Example-literacy")</f>
        <v>https://www.examplebusiness.com/resource-center/money/the-five-basics-of-Example-literacy</v>
      </c>
      <c r="B346" s="34">
        <v>200</v>
      </c>
      <c r="C346" s="34"/>
      <c r="D346" s="20" t="s">
        <v>2525</v>
      </c>
      <c r="E346" s="34" t="s">
        <v>691</v>
      </c>
      <c r="F346" s="34">
        <v>53</v>
      </c>
      <c r="G346" s="34">
        <v>453</v>
      </c>
      <c r="H346" s="20"/>
      <c r="I346" s="20"/>
      <c r="J346" s="34" t="s">
        <v>694</v>
      </c>
      <c r="K346" s="34">
        <v>0</v>
      </c>
      <c r="L346" s="34">
        <v>0</v>
      </c>
      <c r="M346" s="20"/>
      <c r="N346" s="102" t="s">
        <v>2526</v>
      </c>
      <c r="O346" s="20" t="s">
        <v>1282</v>
      </c>
      <c r="P346" s="20" t="s">
        <v>1283</v>
      </c>
      <c r="Q346" s="20" t="s">
        <v>1284</v>
      </c>
      <c r="R346" s="20"/>
      <c r="S346" s="34">
        <v>804</v>
      </c>
    </row>
    <row r="347" spans="1:19" ht="16.5" x14ac:dyDescent="0.35">
      <c r="A347" s="104" t="str">
        <f>HYPERLINK("https://www.examplebusiness.com/resource-center/money/the-half-million-dollar-baby","https://www.examplebusiness.com/resource-center/money/the-half-million-dollar-baby")</f>
        <v>https://www.examplebusiness.com/resource-center/money/the-half-million-dollar-baby</v>
      </c>
      <c r="B347" s="34">
        <v>200</v>
      </c>
      <c r="C347" s="34"/>
      <c r="D347" s="20" t="s">
        <v>2366</v>
      </c>
      <c r="E347" s="34" t="s">
        <v>691</v>
      </c>
      <c r="F347" s="34">
        <v>44</v>
      </c>
      <c r="G347" s="34">
        <v>374</v>
      </c>
      <c r="H347" s="20"/>
      <c r="I347" s="20"/>
      <c r="J347" s="34" t="s">
        <v>694</v>
      </c>
      <c r="K347" s="34">
        <v>0</v>
      </c>
      <c r="L347" s="34">
        <v>0</v>
      </c>
      <c r="M347" s="20"/>
      <c r="N347" s="102" t="s">
        <v>1285</v>
      </c>
      <c r="O347" s="20"/>
      <c r="P347" s="20" t="s">
        <v>843</v>
      </c>
      <c r="Q347" s="20" t="s">
        <v>845</v>
      </c>
      <c r="R347" s="20"/>
      <c r="S347" s="34">
        <v>96</v>
      </c>
    </row>
    <row r="348" spans="1:19" ht="16.5" x14ac:dyDescent="0.35">
      <c r="A348" s="104" t="str">
        <f>HYPERLINK("https://www.examplebusiness.com/resource-center/money/the-latte-lie-and-other-myths","https://www.examplebusiness.com/resource-center/money/the-latte-lie-and-other-myths")</f>
        <v>https://www.examplebusiness.com/resource-center/money/the-latte-lie-and-other-myths</v>
      </c>
      <c r="B348" s="34">
        <v>200</v>
      </c>
      <c r="C348" s="34"/>
      <c r="D348" s="20" t="s">
        <v>2367</v>
      </c>
      <c r="E348" s="34" t="s">
        <v>691</v>
      </c>
      <c r="F348" s="34">
        <v>45</v>
      </c>
      <c r="G348" s="34">
        <v>402</v>
      </c>
      <c r="H348" s="20"/>
      <c r="I348" s="20"/>
      <c r="J348" s="34" t="s">
        <v>694</v>
      </c>
      <c r="K348" s="34">
        <v>0</v>
      </c>
      <c r="L348" s="34">
        <v>0</v>
      </c>
      <c r="M348" s="20"/>
      <c r="N348" s="102" t="s">
        <v>1286</v>
      </c>
      <c r="O348" s="20"/>
      <c r="P348" s="20" t="s">
        <v>843</v>
      </c>
      <c r="Q348" s="20" t="s">
        <v>845</v>
      </c>
      <c r="R348" s="20"/>
      <c r="S348" s="34">
        <v>94</v>
      </c>
    </row>
    <row r="349" spans="1:19" ht="16.5" x14ac:dyDescent="0.35">
      <c r="A349" s="104" t="str">
        <f>HYPERLINK("https://www.examplebusiness.com/resource-center/money/the-lowdown-on-those-free-credit-scores","https://www.examplebusiness.com/resource-center/money/the-lowdown-on-those-free-credit-scores")</f>
        <v>https://www.examplebusiness.com/resource-center/money/the-lowdown-on-those-free-credit-scores</v>
      </c>
      <c r="B349" s="34">
        <v>200</v>
      </c>
      <c r="C349" s="34"/>
      <c r="D349" s="20" t="s">
        <v>2368</v>
      </c>
      <c r="E349" s="34" t="s">
        <v>691</v>
      </c>
      <c r="F349" s="34">
        <v>55</v>
      </c>
      <c r="G349" s="34">
        <v>517</v>
      </c>
      <c r="H349" s="20"/>
      <c r="I349" s="20"/>
      <c r="J349" s="34" t="s">
        <v>694</v>
      </c>
      <c r="K349" s="34">
        <v>0</v>
      </c>
      <c r="L349" s="34">
        <v>0</v>
      </c>
      <c r="M349" s="20"/>
      <c r="N349" s="102" t="s">
        <v>1287</v>
      </c>
      <c r="O349" s="20"/>
      <c r="P349" s="20" t="s">
        <v>1288</v>
      </c>
      <c r="Q349" s="20" t="s">
        <v>843</v>
      </c>
      <c r="R349" s="20"/>
      <c r="S349" s="34">
        <v>579</v>
      </c>
    </row>
    <row r="350" spans="1:19" ht="16.5" x14ac:dyDescent="0.35">
      <c r="A350" s="104" t="str">
        <f>HYPERLINK("https://www.examplebusiness.com/resource-center/money/the-power-of-compound-interest","https://www.examplebusiness.com/resource-center/money/the-power-of-compound-interest")</f>
        <v>https://www.examplebusiness.com/resource-center/money/the-power-of-compound-interest</v>
      </c>
      <c r="B350" s="34">
        <v>200</v>
      </c>
      <c r="C350" s="34"/>
      <c r="D350" s="20" t="s">
        <v>2369</v>
      </c>
      <c r="E350" s="34" t="s">
        <v>691</v>
      </c>
      <c r="F350" s="34">
        <v>46</v>
      </c>
      <c r="G350" s="34">
        <v>425</v>
      </c>
      <c r="H350" s="20"/>
      <c r="I350" s="20"/>
      <c r="J350" s="34" t="s">
        <v>694</v>
      </c>
      <c r="K350" s="34">
        <v>0</v>
      </c>
      <c r="L350" s="34">
        <v>0</v>
      </c>
      <c r="M350" s="20"/>
      <c r="N350" s="102" t="s">
        <v>1289</v>
      </c>
      <c r="O350" s="20"/>
      <c r="P350" s="20" t="s">
        <v>843</v>
      </c>
      <c r="Q350" s="20" t="s">
        <v>845</v>
      </c>
      <c r="R350" s="20"/>
      <c r="S350" s="34">
        <v>103</v>
      </c>
    </row>
    <row r="351" spans="1:19" ht="16.5" x14ac:dyDescent="0.35">
      <c r="A351" s="104" t="str">
        <f>HYPERLINK("https://www.examplebusiness.com/resource-center/money/u-s-personal-savings-rate","https://www.examplebusiness.com/resource-center/money/u-s-personal-savings-rate")</f>
        <v>https://www.examplebusiness.com/resource-center/money/u-s-personal-savings-rate</v>
      </c>
      <c r="B351" s="34">
        <v>200</v>
      </c>
      <c r="C351" s="34"/>
      <c r="D351" s="20" t="s">
        <v>2370</v>
      </c>
      <c r="E351" s="34" t="s">
        <v>691</v>
      </c>
      <c r="F351" s="34">
        <v>42</v>
      </c>
      <c r="G351" s="34">
        <v>376</v>
      </c>
      <c r="H351" s="20"/>
      <c r="I351" s="20"/>
      <c r="J351" s="34" t="s">
        <v>694</v>
      </c>
      <c r="K351" s="34">
        <v>0</v>
      </c>
      <c r="L351" s="34">
        <v>0</v>
      </c>
      <c r="M351" s="20"/>
      <c r="N351" s="102" t="s">
        <v>1290</v>
      </c>
      <c r="O351" s="20"/>
      <c r="P351" s="20" t="s">
        <v>1291</v>
      </c>
      <c r="Q351" s="20" t="s">
        <v>1292</v>
      </c>
      <c r="R351" s="20"/>
      <c r="S351" s="34">
        <v>459</v>
      </c>
    </row>
    <row r="352" spans="1:19" ht="16.5" x14ac:dyDescent="0.35">
      <c r="A352" s="104" t="str">
        <f>HYPERLINK("https://www.examplebusiness.com/resource-center/money/weighing-the-benefits-of-prepaid-debit-cards","https://www.examplebusiness.com/resource-center/money/weighing-the-benefits-of-prepaid-debit-cards")</f>
        <v>https://www.examplebusiness.com/resource-center/money/weighing-the-benefits-of-prepaid-debit-cards</v>
      </c>
      <c r="B352" s="34">
        <v>200</v>
      </c>
      <c r="C352" s="34"/>
      <c r="D352" s="20" t="s">
        <v>2371</v>
      </c>
      <c r="E352" s="34" t="s">
        <v>691</v>
      </c>
      <c r="F352" s="34">
        <v>60</v>
      </c>
      <c r="G352" s="34">
        <v>531</v>
      </c>
      <c r="H352" s="20"/>
      <c r="I352" s="20"/>
      <c r="J352" s="34" t="s">
        <v>694</v>
      </c>
      <c r="K352" s="34">
        <v>0</v>
      </c>
      <c r="L352" s="34">
        <v>0</v>
      </c>
      <c r="M352" s="20"/>
      <c r="N352" s="102" t="s">
        <v>1293</v>
      </c>
      <c r="O352" s="20"/>
      <c r="P352" s="20" t="s">
        <v>843</v>
      </c>
      <c r="Q352" s="20" t="s">
        <v>845</v>
      </c>
      <c r="R352" s="20"/>
      <c r="S352" s="34">
        <v>593</v>
      </c>
    </row>
    <row r="353" spans="1:19" ht="16.5" x14ac:dyDescent="0.35">
      <c r="A353" s="104" t="str">
        <f>HYPERLINK("https://www.examplebusiness.com/resource-center/money/what-is-my-current-cash-flow","https://www.examplebusiness.com/resource-center/money/what-is-my-current-cash-flow")</f>
        <v>https://www.examplebusiness.com/resource-center/money/what-is-my-current-cash-flow</v>
      </c>
      <c r="B353" s="34">
        <v>200</v>
      </c>
      <c r="C353" s="34"/>
      <c r="D353" s="20" t="s">
        <v>2372</v>
      </c>
      <c r="E353" s="34" t="s">
        <v>691</v>
      </c>
      <c r="F353" s="34">
        <v>45</v>
      </c>
      <c r="G353" s="34">
        <v>415</v>
      </c>
      <c r="H353" s="20"/>
      <c r="I353" s="20"/>
      <c r="J353" s="34" t="s">
        <v>694</v>
      </c>
      <c r="K353" s="34">
        <v>0</v>
      </c>
      <c r="L353" s="34">
        <v>0</v>
      </c>
      <c r="M353" s="20"/>
      <c r="N353" s="102" t="s">
        <v>1294</v>
      </c>
      <c r="O353" s="20"/>
      <c r="P353" s="20" t="s">
        <v>843</v>
      </c>
      <c r="Q353" s="20" t="s">
        <v>845</v>
      </c>
      <c r="R353" s="20"/>
      <c r="S353" s="34">
        <v>119</v>
      </c>
    </row>
    <row r="354" spans="1:19" ht="16.5" x14ac:dyDescent="0.35">
      <c r="A354" s="104" t="str">
        <f>HYPERLINK("https://www.examplebusiness.com/resource-center/money/what-our-kids-can-teach-us-about-saving-money","https://www.examplebusiness.com/resource-center/money/what-our-kids-can-teach-us-about-saving-money")</f>
        <v>https://www.examplebusiness.com/resource-center/money/what-our-kids-can-teach-us-about-saving-money</v>
      </c>
      <c r="B354" s="34">
        <v>200</v>
      </c>
      <c r="C354" s="34"/>
      <c r="D354" s="20" t="s">
        <v>2373</v>
      </c>
      <c r="E354" s="34" t="s">
        <v>691</v>
      </c>
      <c r="F354" s="34">
        <v>61</v>
      </c>
      <c r="G354" s="34">
        <v>575</v>
      </c>
      <c r="H354" s="20"/>
      <c r="I354" s="20"/>
      <c r="J354" s="34" t="s">
        <v>694</v>
      </c>
      <c r="K354" s="34">
        <v>0</v>
      </c>
      <c r="L354" s="34">
        <v>0</v>
      </c>
      <c r="M354" s="20"/>
      <c r="N354" s="102" t="s">
        <v>1295</v>
      </c>
      <c r="O354" s="20"/>
      <c r="P354" s="20" t="s">
        <v>843</v>
      </c>
      <c r="Q354" s="20" t="s">
        <v>845</v>
      </c>
      <c r="R354" s="20"/>
      <c r="S354" s="34">
        <v>113</v>
      </c>
    </row>
    <row r="355" spans="1:19" ht="16.5" x14ac:dyDescent="0.35">
      <c r="A355" s="104" t="str">
        <f>HYPERLINK("https://www.examplebusiness.com/resource-center/money/what-to-look-for-in-personal-finance-apps","https://www.examplebusiness.com/resource-center/money/what-to-look-for-in-personal-finance-apps")</f>
        <v>https://www.examplebusiness.com/resource-center/money/what-to-look-for-in-personal-finance-apps</v>
      </c>
      <c r="B355" s="34">
        <v>200</v>
      </c>
      <c r="C355" s="34"/>
      <c r="D355" s="20" t="s">
        <v>2374</v>
      </c>
      <c r="E355" s="34" t="s">
        <v>691</v>
      </c>
      <c r="F355" s="34">
        <v>57</v>
      </c>
      <c r="G355" s="34">
        <v>509</v>
      </c>
      <c r="H355" s="20"/>
      <c r="I355" s="20"/>
      <c r="J355" s="34" t="s">
        <v>694</v>
      </c>
      <c r="K355" s="34">
        <v>0</v>
      </c>
      <c r="L355" s="34">
        <v>0</v>
      </c>
      <c r="M355" s="20"/>
      <c r="N355" s="102" t="s">
        <v>1296</v>
      </c>
      <c r="O355" s="20"/>
      <c r="P355" s="20" t="s">
        <v>1297</v>
      </c>
      <c r="Q355" s="20" t="s">
        <v>1298</v>
      </c>
      <c r="R355" s="20"/>
      <c r="S355" s="34">
        <v>671</v>
      </c>
    </row>
    <row r="356" spans="1:19" ht="16.5" x14ac:dyDescent="0.35">
      <c r="A356" s="104" t="str">
        <f>HYPERLINK("https://www.examplebusiness.com/resource-center/money/year-end-charitable-gifting-and-you","https://www.examplebusiness.com/resource-center/money/year-end-charitable-gifting-and-you")</f>
        <v>https://www.examplebusiness.com/resource-center/money/year-end-charitable-gifting-and-you</v>
      </c>
      <c r="B356" s="34">
        <v>200</v>
      </c>
      <c r="C356" s="34"/>
      <c r="D356" s="20" t="s">
        <v>2375</v>
      </c>
      <c r="E356" s="34" t="s">
        <v>691</v>
      </c>
      <c r="F356" s="34">
        <v>51</v>
      </c>
      <c r="G356" s="34">
        <v>454</v>
      </c>
      <c r="H356" s="20"/>
      <c r="I356" s="20"/>
      <c r="J356" s="34" t="s">
        <v>694</v>
      </c>
      <c r="K356" s="34">
        <v>0</v>
      </c>
      <c r="L356" s="34">
        <v>0</v>
      </c>
      <c r="M356" s="20"/>
      <c r="N356" s="102" t="s">
        <v>1299</v>
      </c>
      <c r="O356" s="20"/>
      <c r="P356" s="20" t="s">
        <v>1300</v>
      </c>
      <c r="Q356" s="20" t="s">
        <v>1301</v>
      </c>
      <c r="R356" s="20"/>
      <c r="S356" s="34">
        <v>843</v>
      </c>
    </row>
    <row r="357" spans="1:19" ht="16.5" x14ac:dyDescent="0.35">
      <c r="A357" s="104" t="str">
        <f>HYPERLINK("https://www.examplebusiness.com/resource-center/money/your-cash-flow-statement","https://www.examplebusiness.com/resource-center/money/your-cash-flow-statement")</f>
        <v>https://www.examplebusiness.com/resource-center/money/your-cash-flow-statement</v>
      </c>
      <c r="B357" s="34">
        <v>200</v>
      </c>
      <c r="C357" s="34"/>
      <c r="D357" s="20" t="s">
        <v>1302</v>
      </c>
      <c r="E357" s="34" t="s">
        <v>691</v>
      </c>
      <c r="F357" s="34">
        <v>16</v>
      </c>
      <c r="G357" s="34">
        <v>179</v>
      </c>
      <c r="H357" s="20"/>
      <c r="I357" s="20"/>
      <c r="J357" s="34" t="s">
        <v>694</v>
      </c>
      <c r="K357" s="34">
        <v>0</v>
      </c>
      <c r="L357" s="34">
        <v>0</v>
      </c>
      <c r="M357" s="20"/>
      <c r="N357" s="102" t="s">
        <v>1242</v>
      </c>
      <c r="O357" s="20"/>
      <c r="P357" s="20" t="s">
        <v>866</v>
      </c>
      <c r="Q357" s="20" t="s">
        <v>843</v>
      </c>
      <c r="R357" s="20"/>
      <c r="S357" s="34">
        <v>131</v>
      </c>
    </row>
    <row r="358" spans="1:19" ht="16.5" x14ac:dyDescent="0.35">
      <c r="A358" s="104" t="str">
        <f>HYPERLINK("https://www.examplebusiness.com/resource-center/money/your-cash-flow-statement?responsive=false","https://www.examplebusiness.com/resource-center/money/your-cash-flow-statement?responsive=false")</f>
        <v>https://www.examplebusiness.com/resource-center/money/your-cash-flow-statement?responsive=false</v>
      </c>
      <c r="B358" s="34">
        <v>200</v>
      </c>
      <c r="C358" s="34"/>
      <c r="D358" s="20" t="s">
        <v>1302</v>
      </c>
      <c r="E358" s="34" t="s">
        <v>691</v>
      </c>
      <c r="F358" s="34">
        <v>16</v>
      </c>
      <c r="G358" s="34">
        <v>179</v>
      </c>
      <c r="H358" s="20"/>
      <c r="I358" s="20"/>
      <c r="J358" s="34" t="s">
        <v>694</v>
      </c>
      <c r="K358" s="34">
        <v>0</v>
      </c>
      <c r="L358" s="34">
        <v>0</v>
      </c>
      <c r="M358" s="20"/>
      <c r="N358" s="102" t="s">
        <v>1242</v>
      </c>
      <c r="O358" s="20"/>
      <c r="P358" s="20" t="s">
        <v>866</v>
      </c>
      <c r="Q358" s="20" t="s">
        <v>843</v>
      </c>
      <c r="R358" s="20"/>
      <c r="S358" s="34">
        <v>131</v>
      </c>
    </row>
    <row r="359" spans="1:19" ht="16.5" x14ac:dyDescent="0.35">
      <c r="A359" s="104" t="str">
        <f>HYPERLINK("https://www.examplebusiness.com/resource-center/money/your-emergency-fund-how-much-is-enough","https://www.examplebusiness.com/resource-center/money/your-emergency-fund-how-much-is-enough")</f>
        <v>https://www.examplebusiness.com/resource-center/money/your-emergency-fund-how-much-is-enough</v>
      </c>
      <c r="B359" s="34">
        <v>200</v>
      </c>
      <c r="C359" s="34"/>
      <c r="D359" s="20" t="s">
        <v>2376</v>
      </c>
      <c r="E359" s="34" t="s">
        <v>691</v>
      </c>
      <c r="F359" s="34">
        <v>56</v>
      </c>
      <c r="G359" s="34">
        <v>537</v>
      </c>
      <c r="H359" s="20"/>
      <c r="I359" s="20"/>
      <c r="J359" s="34" t="s">
        <v>694</v>
      </c>
      <c r="K359" s="34">
        <v>0</v>
      </c>
      <c r="L359" s="34">
        <v>0</v>
      </c>
      <c r="M359" s="20"/>
      <c r="N359" s="102" t="s">
        <v>1303</v>
      </c>
      <c r="O359" s="20"/>
      <c r="P359" s="20" t="s">
        <v>1304</v>
      </c>
      <c r="Q359" s="20" t="s">
        <v>1305</v>
      </c>
      <c r="R359" s="20"/>
      <c r="S359" s="34">
        <v>791</v>
      </c>
    </row>
    <row r="360" spans="1:19" ht="16.5" x14ac:dyDescent="0.35">
      <c r="A360" s="104" t="str">
        <f>HYPERLINK("https://www.examplebusiness.com/resource-center/presentations","https://www.examplebusiness.com/resource-center/presentations")</f>
        <v>https://www.examplebusiness.com/resource-center/presentations</v>
      </c>
      <c r="B360" s="34">
        <v>200</v>
      </c>
      <c r="C360" s="34"/>
      <c r="D360" s="20" t="s">
        <v>2377</v>
      </c>
      <c r="E360" s="34" t="s">
        <v>691</v>
      </c>
      <c r="F360" s="34">
        <v>33</v>
      </c>
      <c r="G360" s="34">
        <v>280</v>
      </c>
      <c r="H360" s="20"/>
      <c r="I360" s="20"/>
      <c r="J360" s="34" t="s">
        <v>694</v>
      </c>
      <c r="K360" s="34">
        <v>0</v>
      </c>
      <c r="L360" s="34">
        <v>0</v>
      </c>
      <c r="M360" s="20"/>
      <c r="N360" s="102" t="s">
        <v>1306</v>
      </c>
      <c r="O360" s="20"/>
      <c r="P360" s="20"/>
      <c r="Q360" s="20"/>
      <c r="R360" s="20"/>
      <c r="S360" s="34">
        <v>256</v>
      </c>
    </row>
    <row r="361" spans="1:19" ht="16.5" x14ac:dyDescent="0.35">
      <c r="A361" s="104" t="str">
        <f>HYPERLINK("https://www.examplebusiness.com/resource-center/retirement","https://www.examplebusiness.com/resource-center/retirement")</f>
        <v>https://www.examplebusiness.com/resource-center/retirement</v>
      </c>
      <c r="B361" s="34">
        <v>200</v>
      </c>
      <c r="C361" s="34"/>
      <c r="D361" s="20" t="s">
        <v>2378</v>
      </c>
      <c r="E361" s="34" t="s">
        <v>691</v>
      </c>
      <c r="F361" s="34">
        <v>26</v>
      </c>
      <c r="G361" s="34">
        <v>229</v>
      </c>
      <c r="H361" s="20"/>
      <c r="I361" s="20"/>
      <c r="J361" s="34" t="s">
        <v>694</v>
      </c>
      <c r="K361" s="34">
        <v>0</v>
      </c>
      <c r="L361" s="34">
        <v>0</v>
      </c>
      <c r="M361" s="20"/>
      <c r="N361" s="102" t="s">
        <v>828</v>
      </c>
      <c r="O361" s="20"/>
      <c r="P361" s="20" t="s">
        <v>1307</v>
      </c>
      <c r="Q361" s="20" t="s">
        <v>1308</v>
      </c>
      <c r="R361" s="20"/>
      <c r="S361" s="34">
        <v>988</v>
      </c>
    </row>
    <row r="362" spans="1:19" ht="16.5" x14ac:dyDescent="0.35">
      <c r="A362" s="104" t="str">
        <f>HYPERLINK("https://www.examplebusiness.com/resource-center/retirement/18-years-worth-of-days","https://www.examplebusiness.com/resource-center/retirement/18-years-worth-of-days")</f>
        <v>https://www.examplebusiness.com/resource-center/retirement/18-years-worth-of-days</v>
      </c>
      <c r="B362" s="34">
        <v>200</v>
      </c>
      <c r="C362" s="34"/>
      <c r="D362" s="20" t="s">
        <v>2379</v>
      </c>
      <c r="E362" s="34" t="s">
        <v>691</v>
      </c>
      <c r="F362" s="34">
        <v>39</v>
      </c>
      <c r="G362" s="34">
        <v>351</v>
      </c>
      <c r="H362" s="20"/>
      <c r="I362" s="20"/>
      <c r="J362" s="34" t="s">
        <v>694</v>
      </c>
      <c r="K362" s="34">
        <v>0</v>
      </c>
      <c r="L362" s="34">
        <v>0</v>
      </c>
      <c r="M362" s="20"/>
      <c r="N362" s="102" t="s">
        <v>1309</v>
      </c>
      <c r="O362" s="20"/>
      <c r="P362" s="20" t="s">
        <v>843</v>
      </c>
      <c r="Q362" s="20" t="s">
        <v>845</v>
      </c>
      <c r="R362" s="20"/>
      <c r="S362" s="34">
        <v>106</v>
      </c>
    </row>
    <row r="363" spans="1:19" ht="16.5" x14ac:dyDescent="0.35">
      <c r="A363" s="104" t="str">
        <f>HYPERLINK("https://www.examplebusiness.com/resource-center/retirement/401k-choices-at-a-former-employer","https://www.examplebusiness.com/resource-center/retirement/401k-choices-at-a-former-employer")</f>
        <v>https://www.examplebusiness.com/resource-center/retirement/401k-choices-at-a-former-employer</v>
      </c>
      <c r="B363" s="34">
        <v>200</v>
      </c>
      <c r="C363" s="34"/>
      <c r="D363" s="20" t="s">
        <v>2380</v>
      </c>
      <c r="E363" s="34" t="s">
        <v>691</v>
      </c>
      <c r="F363" s="34">
        <v>60</v>
      </c>
      <c r="G363" s="34">
        <v>543</v>
      </c>
      <c r="H363" s="20"/>
      <c r="I363" s="20"/>
      <c r="J363" s="34" t="s">
        <v>694</v>
      </c>
      <c r="K363" s="34">
        <v>0</v>
      </c>
      <c r="L363" s="34">
        <v>0</v>
      </c>
      <c r="M363" s="20"/>
      <c r="N363" s="102" t="s">
        <v>1310</v>
      </c>
      <c r="O363" s="20"/>
      <c r="P363" s="20" t="s">
        <v>1311</v>
      </c>
      <c r="Q363" s="20" t="s">
        <v>1312</v>
      </c>
      <c r="R363" s="20"/>
      <c r="S363" s="34">
        <v>787</v>
      </c>
    </row>
    <row r="364" spans="1:19" ht="16.5" x14ac:dyDescent="0.35">
      <c r="A364" s="104" t="str">
        <f>HYPERLINK("https://www.examplebusiness.com/resource-center/retirement/9-facts-about-retirement","https://www.examplebusiness.com/resource-center/retirement/9-facts-about-retirement")</f>
        <v>https://www.examplebusiness.com/resource-center/retirement/9-facts-about-retirement</v>
      </c>
      <c r="B364" s="34">
        <v>200</v>
      </c>
      <c r="C364" s="34"/>
      <c r="D364" s="20" t="s">
        <v>2381</v>
      </c>
      <c r="E364" s="34" t="s">
        <v>691</v>
      </c>
      <c r="F364" s="34">
        <v>40</v>
      </c>
      <c r="G364" s="34">
        <v>358</v>
      </c>
      <c r="H364" s="20"/>
      <c r="I364" s="20"/>
      <c r="J364" s="34" t="s">
        <v>694</v>
      </c>
      <c r="K364" s="34">
        <v>0</v>
      </c>
      <c r="L364" s="34">
        <v>0</v>
      </c>
      <c r="M364" s="20"/>
      <c r="N364" s="102" t="s">
        <v>1313</v>
      </c>
      <c r="O364" s="20"/>
      <c r="P364" s="20" t="s">
        <v>1314</v>
      </c>
      <c r="Q364" s="20" t="s">
        <v>843</v>
      </c>
      <c r="R364" s="20"/>
      <c r="S364" s="34">
        <v>666</v>
      </c>
    </row>
    <row r="365" spans="1:19" ht="16.5" x14ac:dyDescent="0.35">
      <c r="A365" s="104" t="str">
        <f>HYPERLINK("https://www.examplebusiness.com/resource-center/retirement/9-facts-about-social-security","https://www.examplebusiness.com/resource-center/retirement/9-facts-about-social-security")</f>
        <v>https://www.examplebusiness.com/resource-center/retirement/9-facts-about-social-security</v>
      </c>
      <c r="B365" s="34">
        <v>200</v>
      </c>
      <c r="C365" s="34"/>
      <c r="D365" s="20" t="s">
        <v>2382</v>
      </c>
      <c r="E365" s="34" t="s">
        <v>691</v>
      </c>
      <c r="F365" s="34">
        <v>45</v>
      </c>
      <c r="G365" s="34">
        <v>392</v>
      </c>
      <c r="H365" s="20"/>
      <c r="I365" s="20"/>
      <c r="J365" s="34" t="s">
        <v>694</v>
      </c>
      <c r="K365" s="34">
        <v>0</v>
      </c>
      <c r="L365" s="34">
        <v>0</v>
      </c>
      <c r="M365" s="20"/>
      <c r="N365" s="102" t="s">
        <v>1315</v>
      </c>
      <c r="O365" s="20"/>
      <c r="P365" s="20" t="s">
        <v>843</v>
      </c>
      <c r="Q365" s="20" t="s">
        <v>845</v>
      </c>
      <c r="R365" s="20"/>
      <c r="S365" s="34">
        <v>596</v>
      </c>
    </row>
    <row r="366" spans="1:19" ht="16.5" x14ac:dyDescent="0.35">
      <c r="A366" s="104" t="str">
        <f>HYPERLINK("https://www.examplebusiness.com/resource-center/retirement/a-bucket-plan","https://www.examplebusiness.com/resource-center/retirement/a-bucket-plan")</f>
        <v>https://www.examplebusiness.com/resource-center/retirement/a-bucket-plan</v>
      </c>
      <c r="B366" s="34">
        <v>200</v>
      </c>
      <c r="C366" s="34"/>
      <c r="D366" s="20" t="s">
        <v>2383</v>
      </c>
      <c r="E366" s="34" t="s">
        <v>691</v>
      </c>
      <c r="F366" s="34">
        <v>57</v>
      </c>
      <c r="G366" s="34">
        <v>504</v>
      </c>
      <c r="H366" s="20"/>
      <c r="I366" s="20"/>
      <c r="J366" s="34" t="s">
        <v>694</v>
      </c>
      <c r="K366" s="34">
        <v>0</v>
      </c>
      <c r="L366" s="34">
        <v>0</v>
      </c>
      <c r="M366" s="20"/>
      <c r="N366" s="102" t="s">
        <v>1316</v>
      </c>
      <c r="O366" s="20"/>
      <c r="P366" s="20" t="s">
        <v>843</v>
      </c>
      <c r="Q366" s="20" t="s">
        <v>845</v>
      </c>
      <c r="R366" s="20"/>
      <c r="S366" s="34">
        <v>103</v>
      </c>
    </row>
    <row r="367" spans="1:19" ht="16.5" x14ac:dyDescent="0.35">
      <c r="A367" s="104" t="str">
        <f>HYPERLINK("https://www.examplebusiness.com/resource-center/retirement/a-bucket-plan-to-go-with-your-bucket-list","https://www.examplebusiness.com/resource-center/retirement/a-bucket-plan-to-go-with-your-bucket-list")</f>
        <v>https://www.examplebusiness.com/resource-center/retirement/a-bucket-plan-to-go-with-your-bucket-list</v>
      </c>
      <c r="B367" s="34">
        <v>200</v>
      </c>
      <c r="C367" s="34"/>
      <c r="D367" s="20" t="s">
        <v>2383</v>
      </c>
      <c r="E367" s="34" t="s">
        <v>691</v>
      </c>
      <c r="F367" s="34">
        <v>57</v>
      </c>
      <c r="G367" s="34">
        <v>504</v>
      </c>
      <c r="H367" s="20"/>
      <c r="I367" s="20"/>
      <c r="J367" s="34" t="s">
        <v>694</v>
      </c>
      <c r="K367" s="34">
        <v>0</v>
      </c>
      <c r="L367" s="34">
        <v>0</v>
      </c>
      <c r="M367" s="20"/>
      <c r="N367" s="102" t="s">
        <v>1316</v>
      </c>
      <c r="O367" s="20"/>
      <c r="P367" s="20" t="s">
        <v>843</v>
      </c>
      <c r="Q367" s="20" t="s">
        <v>845</v>
      </c>
      <c r="R367" s="20"/>
      <c r="S367" s="34">
        <v>505</v>
      </c>
    </row>
    <row r="368" spans="1:19" ht="16.5" x14ac:dyDescent="0.35">
      <c r="A368" s="104" t="str">
        <f>HYPERLINK("https://www.examplebusiness.com/resource-center/retirement/a-fruitful-retirement-social-security-benefit","https://www.examplebusiness.com/resource-center/retirement/a-fruitful-retirement-social-security-benefit")</f>
        <v>https://www.examplebusiness.com/resource-center/retirement/a-fruitful-retirement-social-security-benefit</v>
      </c>
      <c r="B368" s="34">
        <v>200</v>
      </c>
      <c r="C368" s="34"/>
      <c r="D368" s="20" t="s">
        <v>2384</v>
      </c>
      <c r="E368" s="34" t="s">
        <v>691</v>
      </c>
      <c r="F368" s="34">
        <v>62</v>
      </c>
      <c r="G368" s="34">
        <v>522</v>
      </c>
      <c r="H368" s="20"/>
      <c r="I368" s="20"/>
      <c r="J368" s="34" t="s">
        <v>694</v>
      </c>
      <c r="K368" s="34">
        <v>0</v>
      </c>
      <c r="L368" s="34">
        <v>0</v>
      </c>
      <c r="M368" s="20"/>
      <c r="N368" s="102" t="s">
        <v>1317</v>
      </c>
      <c r="O368" s="20"/>
      <c r="P368" s="20" t="s">
        <v>843</v>
      </c>
      <c r="Q368" s="20" t="s">
        <v>845</v>
      </c>
      <c r="R368" s="20"/>
      <c r="S368" s="34">
        <v>108</v>
      </c>
    </row>
    <row r="369" spans="1:19" ht="16.5" x14ac:dyDescent="0.35">
      <c r="A369" s="104" t="str">
        <f>HYPERLINK("https://www.examplebusiness.com/resource-center/retirement/a-look-at-systematic-withdrawals","https://www.examplebusiness.com/resource-center/retirement/a-look-at-systematic-withdrawals")</f>
        <v>https://www.examplebusiness.com/resource-center/retirement/a-look-at-systematic-withdrawals</v>
      </c>
      <c r="B369" s="34">
        <v>200</v>
      </c>
      <c r="C369" s="34"/>
      <c r="D369" s="20" t="s">
        <v>2385</v>
      </c>
      <c r="E369" s="34" t="s">
        <v>691</v>
      </c>
      <c r="F369" s="34">
        <v>48</v>
      </c>
      <c r="G369" s="34">
        <v>435</v>
      </c>
      <c r="H369" s="20"/>
      <c r="I369" s="20"/>
      <c r="J369" s="34" t="s">
        <v>694</v>
      </c>
      <c r="K369" s="34">
        <v>0</v>
      </c>
      <c r="L369" s="34">
        <v>0</v>
      </c>
      <c r="M369" s="20"/>
      <c r="N369" s="102" t="s">
        <v>1318</v>
      </c>
      <c r="O369" s="20"/>
      <c r="P369" s="20" t="s">
        <v>843</v>
      </c>
      <c r="Q369" s="20" t="s">
        <v>845</v>
      </c>
      <c r="R369" s="20"/>
      <c r="S369" s="34">
        <v>131</v>
      </c>
    </row>
    <row r="370" spans="1:19" ht="16.5" x14ac:dyDescent="0.35">
      <c r="A370" s="104" t="str">
        <f>HYPERLINK("https://www.examplebusiness.com/resource-center/retirement/an-inside-look-at-retirement-living","https://www.examplebusiness.com/resource-center/retirement/an-inside-look-at-retirement-living")</f>
        <v>https://www.examplebusiness.com/resource-center/retirement/an-inside-look-at-retirement-living</v>
      </c>
      <c r="B370" s="34">
        <v>200</v>
      </c>
      <c r="C370" s="34"/>
      <c r="D370" s="20" t="s">
        <v>2386</v>
      </c>
      <c r="E370" s="34" t="s">
        <v>691</v>
      </c>
      <c r="F370" s="34">
        <v>51</v>
      </c>
      <c r="G370" s="34">
        <v>443</v>
      </c>
      <c r="H370" s="20"/>
      <c r="I370" s="20"/>
      <c r="J370" s="34" t="s">
        <v>694</v>
      </c>
      <c r="K370" s="34">
        <v>0</v>
      </c>
      <c r="L370" s="34">
        <v>0</v>
      </c>
      <c r="M370" s="20"/>
      <c r="N370" s="102" t="s">
        <v>1308</v>
      </c>
      <c r="O370" s="20"/>
      <c r="P370" s="20" t="s">
        <v>866</v>
      </c>
      <c r="Q370" s="20" t="s">
        <v>843</v>
      </c>
      <c r="R370" s="20"/>
      <c r="S370" s="34">
        <v>130</v>
      </c>
    </row>
    <row r="371" spans="1:19" ht="16.5" x14ac:dyDescent="0.35">
      <c r="A371" s="104" t="str">
        <f>HYPERLINK("https://www.examplebusiness.com/resource-center/retirement/an-inside-look-at-retirement-living?responsive=false","https://www.examplebusiness.com/resource-center/retirement/an-inside-look-at-retirement-living?responsive=false")</f>
        <v>https://www.examplebusiness.com/resource-center/retirement/an-inside-look-at-retirement-living?responsive=false</v>
      </c>
      <c r="B371" s="34">
        <v>200</v>
      </c>
      <c r="C371" s="34"/>
      <c r="D371" s="20" t="s">
        <v>2386</v>
      </c>
      <c r="E371" s="34" t="s">
        <v>691</v>
      </c>
      <c r="F371" s="34">
        <v>51</v>
      </c>
      <c r="G371" s="34">
        <v>443</v>
      </c>
      <c r="H371" s="20"/>
      <c r="I371" s="20"/>
      <c r="J371" s="34" t="s">
        <v>694</v>
      </c>
      <c r="K371" s="34">
        <v>0</v>
      </c>
      <c r="L371" s="34">
        <v>0</v>
      </c>
      <c r="M371" s="20"/>
      <c r="N371" s="102" t="s">
        <v>1308</v>
      </c>
      <c r="O371" s="20"/>
      <c r="P371" s="20" t="s">
        <v>866</v>
      </c>
      <c r="Q371" s="20" t="s">
        <v>843</v>
      </c>
      <c r="R371" s="20"/>
      <c r="S371" s="34">
        <v>130</v>
      </c>
    </row>
    <row r="372" spans="1:19" ht="16.5" x14ac:dyDescent="0.35">
      <c r="A372" s="104" t="str">
        <f>HYPERLINK("https://www.examplebusiness.com/resource-center/retirement/annuity-comparison","https://www.examplebusiness.com/resource-center/retirement/annuity-comparison")</f>
        <v>https://www.examplebusiness.com/resource-center/retirement/annuity-comparison</v>
      </c>
      <c r="B372" s="34">
        <v>200</v>
      </c>
      <c r="C372" s="34"/>
      <c r="D372" s="20" t="s">
        <v>2387</v>
      </c>
      <c r="E372" s="34" t="s">
        <v>691</v>
      </c>
      <c r="F372" s="34">
        <v>34</v>
      </c>
      <c r="G372" s="34">
        <v>307</v>
      </c>
      <c r="H372" s="20"/>
      <c r="I372" s="20"/>
      <c r="J372" s="34" t="s">
        <v>694</v>
      </c>
      <c r="K372" s="34">
        <v>0</v>
      </c>
      <c r="L372" s="34">
        <v>0</v>
      </c>
      <c r="M372" s="20"/>
      <c r="N372" s="102" t="s">
        <v>1319</v>
      </c>
      <c r="O372" s="20"/>
      <c r="P372" s="20" t="s">
        <v>843</v>
      </c>
      <c r="Q372" s="20" t="s">
        <v>845</v>
      </c>
      <c r="R372" s="20"/>
      <c r="S372" s="34">
        <v>132</v>
      </c>
    </row>
    <row r="373" spans="1:19" ht="16.5" x14ac:dyDescent="0.35">
      <c r="A373" s="104" t="str">
        <f>HYPERLINK("https://www.examplebusiness.com/resource-center/retirement/caring-for-aging-parents","https://www.examplebusiness.com/resource-center/retirement/caring-for-aging-parents")</f>
        <v>https://www.examplebusiness.com/resource-center/retirement/caring-for-aging-parents</v>
      </c>
      <c r="B373" s="34">
        <v>200</v>
      </c>
      <c r="C373" s="34"/>
      <c r="D373" s="20" t="s">
        <v>2388</v>
      </c>
      <c r="E373" s="34" t="s">
        <v>691</v>
      </c>
      <c r="F373" s="34">
        <v>40</v>
      </c>
      <c r="G373" s="34">
        <v>349</v>
      </c>
      <c r="H373" s="20"/>
      <c r="I373" s="20"/>
      <c r="J373" s="34" t="s">
        <v>694</v>
      </c>
      <c r="K373" s="34">
        <v>0</v>
      </c>
      <c r="L373" s="34">
        <v>0</v>
      </c>
      <c r="M373" s="20"/>
      <c r="N373" s="102" t="s">
        <v>1320</v>
      </c>
      <c r="O373" s="20"/>
      <c r="P373" s="20" t="s">
        <v>1321</v>
      </c>
      <c r="Q373" s="20" t="s">
        <v>1322</v>
      </c>
      <c r="R373" s="20"/>
      <c r="S373" s="34">
        <v>787</v>
      </c>
    </row>
    <row r="374" spans="1:19" ht="16.5" x14ac:dyDescent="0.35">
      <c r="A374" s="104" t="str">
        <f>HYPERLINK("https://www.examplebusiness.com/resource-center/retirement/catch-up-contributions","https://www.examplebusiness.com/resource-center/retirement/catch-up-contributions")</f>
        <v>https://www.examplebusiness.com/resource-center/retirement/catch-up-contributions</v>
      </c>
      <c r="B374" s="34">
        <v>200</v>
      </c>
      <c r="C374" s="34"/>
      <c r="D374" s="20" t="s">
        <v>2389</v>
      </c>
      <c r="E374" s="34" t="s">
        <v>691</v>
      </c>
      <c r="F374" s="34">
        <v>38</v>
      </c>
      <c r="G374" s="34">
        <v>335</v>
      </c>
      <c r="H374" s="20"/>
      <c r="I374" s="20"/>
      <c r="J374" s="34" t="s">
        <v>694</v>
      </c>
      <c r="K374" s="34">
        <v>0</v>
      </c>
      <c r="L374" s="34">
        <v>0</v>
      </c>
      <c r="M374" s="20"/>
      <c r="N374" s="102" t="s">
        <v>1323</v>
      </c>
      <c r="O374" s="20"/>
      <c r="P374" s="20" t="s">
        <v>1324</v>
      </c>
      <c r="Q374" s="20" t="s">
        <v>1325</v>
      </c>
      <c r="R374" s="20"/>
      <c r="S374" s="34">
        <v>699</v>
      </c>
    </row>
    <row r="375" spans="1:19" ht="16.5" x14ac:dyDescent="0.35">
      <c r="A375" s="104" t="str">
        <f>HYPERLINK("https://www.examplebusiness.com/resource-center/retirement/certain-uncertainties-in-retirement","https://www.examplebusiness.com/resource-center/retirement/certain-uncertainties-in-retirement")</f>
        <v>https://www.examplebusiness.com/resource-center/retirement/certain-uncertainties-in-retirement</v>
      </c>
      <c r="B375" s="34">
        <v>200</v>
      </c>
      <c r="C375" s="34"/>
      <c r="D375" s="20" t="s">
        <v>2390</v>
      </c>
      <c r="E375" s="34" t="s">
        <v>691</v>
      </c>
      <c r="F375" s="34">
        <v>51</v>
      </c>
      <c r="G375" s="34">
        <v>437</v>
      </c>
      <c r="H375" s="20"/>
      <c r="I375" s="20"/>
      <c r="J375" s="34" t="s">
        <v>694</v>
      </c>
      <c r="K375" s="34">
        <v>0</v>
      </c>
      <c r="L375" s="34">
        <v>0</v>
      </c>
      <c r="M375" s="20"/>
      <c r="N375" s="102" t="s">
        <v>1326</v>
      </c>
      <c r="O375" s="20"/>
      <c r="P375" s="20" t="s">
        <v>1327</v>
      </c>
      <c r="Q375" s="20" t="s">
        <v>1328</v>
      </c>
      <c r="R375" s="20"/>
      <c r="S375" s="34">
        <v>604</v>
      </c>
    </row>
    <row r="376" spans="1:19" ht="16.5" x14ac:dyDescent="0.35">
      <c r="A376" s="104" t="str">
        <f>HYPERLINK("https://www.examplebusiness.com/resource-center/retirement/choosing-a-retirement-plan-that-fits-your-business","https://www.examplebusiness.com/resource-center/retirement/choosing-a-retirement-plan-that-fits-your-business")</f>
        <v>https://www.examplebusiness.com/resource-center/retirement/choosing-a-retirement-plan-that-fits-your-business</v>
      </c>
      <c r="B376" s="34">
        <v>200</v>
      </c>
      <c r="C376" s="34"/>
      <c r="D376" s="20" t="s">
        <v>2391</v>
      </c>
      <c r="E376" s="34" t="s">
        <v>691</v>
      </c>
      <c r="F376" s="34">
        <v>66</v>
      </c>
      <c r="G376" s="34">
        <v>586</v>
      </c>
      <c r="H376" s="20"/>
      <c r="I376" s="20"/>
      <c r="J376" s="34" t="s">
        <v>694</v>
      </c>
      <c r="K376" s="34">
        <v>0</v>
      </c>
      <c r="L376" s="34">
        <v>0</v>
      </c>
      <c r="M376" s="20"/>
      <c r="N376" s="102" t="s">
        <v>1329</v>
      </c>
      <c r="O376" s="20"/>
      <c r="P376" s="20" t="s">
        <v>1330</v>
      </c>
      <c r="Q376" s="20" t="s">
        <v>1331</v>
      </c>
      <c r="R376" s="20"/>
      <c r="S376" s="34">
        <v>802</v>
      </c>
    </row>
    <row r="377" spans="1:19" ht="16.5" x14ac:dyDescent="0.35">
      <c r="A377" s="104" t="str">
        <f>HYPERLINK("https://www.examplebusiness.com/resource-center/retirement/deciding-on-social-security","https://www.examplebusiness.com/resource-center/retirement/deciding-on-social-security")</f>
        <v>https://www.examplebusiness.com/resource-center/retirement/deciding-on-social-security</v>
      </c>
      <c r="B377" s="34">
        <v>200</v>
      </c>
      <c r="C377" s="34"/>
      <c r="D377" s="20" t="s">
        <v>2392</v>
      </c>
      <c r="E377" s="34" t="s">
        <v>691</v>
      </c>
      <c r="F377" s="34">
        <v>52</v>
      </c>
      <c r="G377" s="34">
        <v>475</v>
      </c>
      <c r="H377" s="20"/>
      <c r="I377" s="20"/>
      <c r="J377" s="34" t="s">
        <v>694</v>
      </c>
      <c r="K377" s="34">
        <v>0</v>
      </c>
      <c r="L377" s="34">
        <v>0</v>
      </c>
      <c r="M377" s="20"/>
      <c r="N377" s="102" t="s">
        <v>1332</v>
      </c>
      <c r="O377" s="20"/>
      <c r="P377" s="20" t="s">
        <v>843</v>
      </c>
      <c r="Q377" s="20" t="s">
        <v>845</v>
      </c>
      <c r="R377" s="20"/>
      <c r="S377" s="34">
        <v>576</v>
      </c>
    </row>
    <row r="378" spans="1:19" ht="16.5" x14ac:dyDescent="0.35">
      <c r="A378" s="104" t="str">
        <f>HYPERLINK("https://www.examplebusiness.com/resource-center/retirement/does-your-portfolio-fit-your-retirement-lifestyle","https://www.examplebusiness.com/resource-center/retirement/does-your-portfolio-fit-your-retirement-lifestyle")</f>
        <v>https://www.examplebusiness.com/resource-center/retirement/does-your-portfolio-fit-your-retirement-lifestyle</v>
      </c>
      <c r="B378" s="34">
        <v>200</v>
      </c>
      <c r="C378" s="34"/>
      <c r="D378" s="20" t="s">
        <v>2393</v>
      </c>
      <c r="E378" s="34" t="s">
        <v>691</v>
      </c>
      <c r="F378" s="34">
        <v>66</v>
      </c>
      <c r="G378" s="34">
        <v>574</v>
      </c>
      <c r="H378" s="20"/>
      <c r="I378" s="20"/>
      <c r="J378" s="34" t="s">
        <v>694</v>
      </c>
      <c r="K378" s="34">
        <v>0</v>
      </c>
      <c r="L378" s="34">
        <v>0</v>
      </c>
      <c r="M378" s="20"/>
      <c r="N378" s="102" t="s">
        <v>1333</v>
      </c>
      <c r="O378" s="20"/>
      <c r="P378" s="20" t="s">
        <v>1334</v>
      </c>
      <c r="Q378" s="20" t="s">
        <v>1335</v>
      </c>
      <c r="R378" s="20"/>
      <c r="S378" s="34">
        <v>555</v>
      </c>
    </row>
    <row r="379" spans="1:19" ht="16.5" x14ac:dyDescent="0.35">
      <c r="A379" s="104" t="str">
        <f>HYPERLINK("https://www.examplebusiness.com/resource-center/retirement/dreaming-up-an-active-retirement","https://www.examplebusiness.com/resource-center/retirement/dreaming-up-an-active-retirement")</f>
        <v>https://www.examplebusiness.com/resource-center/retirement/dreaming-up-an-active-retirement</v>
      </c>
      <c r="B379" s="34">
        <v>200</v>
      </c>
      <c r="C379" s="34"/>
      <c r="D379" s="20" t="s">
        <v>2394</v>
      </c>
      <c r="E379" s="34" t="s">
        <v>691</v>
      </c>
      <c r="F379" s="34">
        <v>48</v>
      </c>
      <c r="G379" s="34">
        <v>435</v>
      </c>
      <c r="H379" s="20"/>
      <c r="I379" s="20"/>
      <c r="J379" s="34" t="s">
        <v>694</v>
      </c>
      <c r="K379" s="34">
        <v>0</v>
      </c>
      <c r="L379" s="34">
        <v>0</v>
      </c>
      <c r="M379" s="20"/>
      <c r="N379" s="102" t="s">
        <v>1336</v>
      </c>
      <c r="O379" s="20"/>
      <c r="P379" s="20" t="s">
        <v>843</v>
      </c>
      <c r="Q379" s="20" t="s">
        <v>845</v>
      </c>
      <c r="R379" s="20"/>
      <c r="S379" s="34">
        <v>111</v>
      </c>
    </row>
    <row r="380" spans="1:19" ht="16.5" x14ac:dyDescent="0.35">
      <c r="A380" s="104" t="str">
        <f>HYPERLINK("https://www.examplebusiness.com/resource-center/retirement/eight-mistakes-that-can-upend-your-retirement","https://www.examplebusiness.com/resource-center/retirement/eight-mistakes-that-can-upend-your-retirement")</f>
        <v>https://www.examplebusiness.com/resource-center/retirement/eight-mistakes-that-can-upend-your-retirement</v>
      </c>
      <c r="B380" s="34">
        <v>200</v>
      </c>
      <c r="C380" s="34"/>
      <c r="D380" s="20" t="s">
        <v>2395</v>
      </c>
      <c r="E380" s="34" t="s">
        <v>691</v>
      </c>
      <c r="F380" s="34">
        <v>61</v>
      </c>
      <c r="G380" s="34">
        <v>560</v>
      </c>
      <c r="H380" s="20"/>
      <c r="I380" s="20"/>
      <c r="J380" s="34" t="s">
        <v>694</v>
      </c>
      <c r="K380" s="34">
        <v>0</v>
      </c>
      <c r="L380" s="34">
        <v>0</v>
      </c>
      <c r="M380" s="20"/>
      <c r="N380" s="102" t="s">
        <v>1337</v>
      </c>
      <c r="O380" s="20"/>
      <c r="P380" s="20" t="s">
        <v>843</v>
      </c>
      <c r="Q380" s="20" t="s">
        <v>845</v>
      </c>
      <c r="R380" s="20"/>
      <c r="S380" s="34">
        <v>725</v>
      </c>
    </row>
    <row r="381" spans="1:19" ht="16.5" x14ac:dyDescent="0.35">
      <c r="A381" s="104" t="str">
        <f>HYPERLINK("https://www.examplebusiness.com/resource-center/retirement/encore-careers-push-your-boundaries","https://www.examplebusiness.com/resource-center/retirement/encore-careers-push-your-boundaries")</f>
        <v>https://www.examplebusiness.com/resource-center/retirement/encore-careers-push-your-boundaries</v>
      </c>
      <c r="B381" s="34">
        <v>200</v>
      </c>
      <c r="C381" s="34"/>
      <c r="D381" s="20" t="s">
        <v>2396</v>
      </c>
      <c r="E381" s="34" t="s">
        <v>691</v>
      </c>
      <c r="F381" s="34">
        <v>52</v>
      </c>
      <c r="G381" s="34">
        <v>479</v>
      </c>
      <c r="H381" s="20"/>
      <c r="I381" s="20"/>
      <c r="J381" s="34" t="s">
        <v>694</v>
      </c>
      <c r="K381" s="34">
        <v>0</v>
      </c>
      <c r="L381" s="34">
        <v>0</v>
      </c>
      <c r="M381" s="20"/>
      <c r="N381" s="102" t="s">
        <v>1338</v>
      </c>
      <c r="O381" s="20"/>
      <c r="P381" s="20" t="s">
        <v>843</v>
      </c>
      <c r="Q381" s="20" t="s">
        <v>845</v>
      </c>
      <c r="R381" s="20"/>
      <c r="S381" s="34">
        <v>98</v>
      </c>
    </row>
    <row r="382" spans="1:19" ht="16.5" x14ac:dyDescent="0.35">
      <c r="A382" s="104" t="str">
        <f>HYPERLINK("https://www.examplebusiness.com/resource-center/retirement/healthcare-costs-in-retirement","https://www.examplebusiness.com/resource-center/retirement/healthcare-costs-in-retirement")</f>
        <v>https://www.examplebusiness.com/resource-center/retirement/healthcare-costs-in-retirement</v>
      </c>
      <c r="B382" s="34">
        <v>200</v>
      </c>
      <c r="C382" s="34"/>
      <c r="D382" s="20" t="s">
        <v>2397</v>
      </c>
      <c r="E382" s="34" t="s">
        <v>691</v>
      </c>
      <c r="F382" s="34">
        <v>46</v>
      </c>
      <c r="G382" s="34">
        <v>406</v>
      </c>
      <c r="H382" s="20"/>
      <c r="I382" s="20"/>
      <c r="J382" s="34" t="s">
        <v>694</v>
      </c>
      <c r="K382" s="34">
        <v>0</v>
      </c>
      <c r="L382" s="34">
        <v>0</v>
      </c>
      <c r="M382" s="20"/>
      <c r="N382" s="102" t="s">
        <v>1339</v>
      </c>
      <c r="O382" s="20"/>
      <c r="P382" s="20" t="s">
        <v>1340</v>
      </c>
      <c r="Q382" s="20" t="s">
        <v>1341</v>
      </c>
      <c r="R382" s="20"/>
      <c r="S382" s="34">
        <v>488</v>
      </c>
    </row>
    <row r="383" spans="1:19" ht="16.5" x14ac:dyDescent="0.35">
      <c r="A383" s="104" t="str">
        <f>HYPERLINK("https://www.examplebusiness.com/resource-center/retirement/how-retirement-spending-changes-with-time","https://www.examplebusiness.com/resource-center/retirement/how-retirement-spending-changes-with-time")</f>
        <v>https://www.examplebusiness.com/resource-center/retirement/how-retirement-spending-changes-with-time</v>
      </c>
      <c r="B383" s="34">
        <v>200</v>
      </c>
      <c r="C383" s="34"/>
      <c r="D383" s="20" t="s">
        <v>2398</v>
      </c>
      <c r="E383" s="34" t="s">
        <v>691</v>
      </c>
      <c r="F383" s="34">
        <v>57</v>
      </c>
      <c r="G383" s="34">
        <v>538</v>
      </c>
      <c r="H383" s="20"/>
      <c r="I383" s="20"/>
      <c r="J383" s="34" t="s">
        <v>694</v>
      </c>
      <c r="K383" s="34">
        <v>0</v>
      </c>
      <c r="L383" s="34">
        <v>0</v>
      </c>
      <c r="M383" s="20"/>
      <c r="N383" s="102" t="s">
        <v>1342</v>
      </c>
      <c r="O383" s="20"/>
      <c r="P383" s="20" t="s">
        <v>1343</v>
      </c>
      <c r="Q383" s="20" t="s">
        <v>1344</v>
      </c>
      <c r="R383" s="20"/>
      <c r="S383" s="34">
        <v>476</v>
      </c>
    </row>
    <row r="384" spans="1:19" ht="16.5" x14ac:dyDescent="0.35">
      <c r="A384" s="104" t="str">
        <f>HYPERLINK("https://www.examplebusiness.com/resource-center/retirement/how-to-retire-early","https://www.examplebusiness.com/resource-center/retirement/how-to-retire-early")</f>
        <v>https://www.examplebusiness.com/resource-center/retirement/how-to-retire-early</v>
      </c>
      <c r="B384" s="34">
        <v>200</v>
      </c>
      <c r="C384" s="34"/>
      <c r="D384" s="20" t="s">
        <v>1345</v>
      </c>
      <c r="E384" s="34" t="s">
        <v>691</v>
      </c>
      <c r="F384" s="34">
        <v>19</v>
      </c>
      <c r="G384" s="34">
        <v>163</v>
      </c>
      <c r="H384" s="20"/>
      <c r="I384" s="20"/>
      <c r="J384" s="34" t="s">
        <v>694</v>
      </c>
      <c r="K384" s="34">
        <v>0</v>
      </c>
      <c r="L384" s="34">
        <v>0</v>
      </c>
      <c r="M384" s="20"/>
      <c r="N384" s="102" t="s">
        <v>1346</v>
      </c>
      <c r="O384" s="20"/>
      <c r="P384" s="20" t="s">
        <v>843</v>
      </c>
      <c r="Q384" s="20" t="s">
        <v>845</v>
      </c>
      <c r="R384" s="20"/>
      <c r="S384" s="34">
        <v>131</v>
      </c>
    </row>
    <row r="385" spans="1:19" ht="16.5" x14ac:dyDescent="0.35">
      <c r="A385" s="104" t="str">
        <f>HYPERLINK("https://www.examplebusiness.com/resource-center/retirement/how-will-working-affect-social-security-benefits","https://www.examplebusiness.com/resource-center/retirement/how-will-working-affect-social-security-benefits")</f>
        <v>https://www.examplebusiness.com/resource-center/retirement/how-will-working-affect-social-security-benefits</v>
      </c>
      <c r="B385" s="34">
        <v>200</v>
      </c>
      <c r="C385" s="34"/>
      <c r="D385" s="20" t="s">
        <v>2399</v>
      </c>
      <c r="E385" s="34" t="s">
        <v>691</v>
      </c>
      <c r="F385" s="34">
        <v>65</v>
      </c>
      <c r="G385" s="34">
        <v>569</v>
      </c>
      <c r="H385" s="20"/>
      <c r="I385" s="20"/>
      <c r="J385" s="34" t="s">
        <v>694</v>
      </c>
      <c r="K385" s="34">
        <v>0</v>
      </c>
      <c r="L385" s="34">
        <v>0</v>
      </c>
      <c r="M385" s="20"/>
      <c r="N385" s="102" t="s">
        <v>1347</v>
      </c>
      <c r="O385" s="20"/>
      <c r="P385" s="20" t="s">
        <v>1348</v>
      </c>
      <c r="Q385" s="20" t="s">
        <v>1349</v>
      </c>
      <c r="R385" s="20"/>
      <c r="S385" s="34">
        <v>699</v>
      </c>
    </row>
    <row r="386" spans="1:19" ht="16.5" x14ac:dyDescent="0.35">
      <c r="A386" s="104" t="str">
        <f>HYPERLINK("https://www.examplebusiness.com/resource-center/retirement/immediate-vs-deferred-annuities","https://www.examplebusiness.com/resource-center/retirement/immediate-vs-deferred-annuities")</f>
        <v>https://www.examplebusiness.com/resource-center/retirement/immediate-vs-deferred-annuities</v>
      </c>
      <c r="B386" s="34">
        <v>200</v>
      </c>
      <c r="C386" s="34"/>
      <c r="D386" s="20" t="s">
        <v>2400</v>
      </c>
      <c r="E386" s="34" t="s">
        <v>691</v>
      </c>
      <c r="F386" s="34">
        <v>48</v>
      </c>
      <c r="G386" s="34">
        <v>424</v>
      </c>
      <c r="H386" s="20"/>
      <c r="I386" s="20"/>
      <c r="J386" s="34" t="s">
        <v>694</v>
      </c>
      <c r="K386" s="34">
        <v>0</v>
      </c>
      <c r="L386" s="34">
        <v>0</v>
      </c>
      <c r="M386" s="20"/>
      <c r="N386" s="102" t="s">
        <v>1350</v>
      </c>
      <c r="O386" s="20"/>
      <c r="P386" s="20" t="s">
        <v>1351</v>
      </c>
      <c r="Q386" s="20" t="s">
        <v>1352</v>
      </c>
      <c r="R386" s="20"/>
      <c r="S386" s="34">
        <v>774</v>
      </c>
    </row>
    <row r="387" spans="1:19" ht="16.5" x14ac:dyDescent="0.35">
      <c r="A387" s="104" t="str">
        <f>HYPERLINK("https://www.examplebusiness.com/resource-center/retirement/important-birthdays-over-50","https://www.examplebusiness.com/resource-center/retirement/important-birthdays-over-50")</f>
        <v>https://www.examplebusiness.com/resource-center/retirement/important-birthdays-over-50</v>
      </c>
      <c r="B387" s="34">
        <v>200</v>
      </c>
      <c r="C387" s="34"/>
      <c r="D387" s="20" t="s">
        <v>2401</v>
      </c>
      <c r="E387" s="34" t="s">
        <v>691</v>
      </c>
      <c r="F387" s="34">
        <v>43</v>
      </c>
      <c r="G387" s="34">
        <v>382</v>
      </c>
      <c r="H387" s="20"/>
      <c r="I387" s="20"/>
      <c r="J387" s="34" t="s">
        <v>694</v>
      </c>
      <c r="K387" s="34">
        <v>0</v>
      </c>
      <c r="L387" s="34">
        <v>0</v>
      </c>
      <c r="M387" s="20"/>
      <c r="N387" s="102" t="s">
        <v>1353</v>
      </c>
      <c r="O387" s="20"/>
      <c r="P387" s="20" t="s">
        <v>843</v>
      </c>
      <c r="Q387" s="20" t="s">
        <v>845</v>
      </c>
      <c r="R387" s="20"/>
      <c r="S387" s="34">
        <v>744</v>
      </c>
    </row>
    <row r="388" spans="1:19" ht="16.5" x14ac:dyDescent="0.35">
      <c r="A388" s="104" t="str">
        <f>HYPERLINK("https://www.examplebusiness.com/resource-center/retirement/inflation-and-retirement","https://www.examplebusiness.com/resource-center/retirement/inflation-and-retirement")</f>
        <v>https://www.examplebusiness.com/resource-center/retirement/inflation-and-retirement</v>
      </c>
      <c r="B388" s="34">
        <v>200</v>
      </c>
      <c r="C388" s="34"/>
      <c r="D388" s="20" t="s">
        <v>1354</v>
      </c>
      <c r="E388" s="34" t="s">
        <v>691</v>
      </c>
      <c r="F388" s="34">
        <v>22</v>
      </c>
      <c r="G388" s="34">
        <v>189</v>
      </c>
      <c r="H388" s="20"/>
      <c r="I388" s="20"/>
      <c r="J388" s="34" t="s">
        <v>694</v>
      </c>
      <c r="K388" s="34">
        <v>0</v>
      </c>
      <c r="L388" s="34">
        <v>0</v>
      </c>
      <c r="M388" s="20"/>
      <c r="N388" s="102" t="s">
        <v>1354</v>
      </c>
      <c r="O388" s="20"/>
      <c r="P388" s="20" t="s">
        <v>843</v>
      </c>
      <c r="Q388" s="20" t="s">
        <v>845</v>
      </c>
      <c r="R388" s="20"/>
      <c r="S388" s="34">
        <v>122</v>
      </c>
    </row>
    <row r="389" spans="1:19" ht="16.5" x14ac:dyDescent="0.35">
      <c r="A389" s="104" t="str">
        <f>HYPERLINK("https://www.examplebusiness.com/resource-center/retirement/inflation-back-to-the-future","https://www.examplebusiness.com/resource-center/retirement/inflation-back-to-the-future")</f>
        <v>https://www.examplebusiness.com/resource-center/retirement/inflation-back-to-the-future</v>
      </c>
      <c r="B389" s="34">
        <v>200</v>
      </c>
      <c r="C389" s="34"/>
      <c r="D389" s="20" t="s">
        <v>2402</v>
      </c>
      <c r="E389" s="34" t="s">
        <v>691</v>
      </c>
      <c r="F389" s="34">
        <v>46</v>
      </c>
      <c r="G389" s="34">
        <v>382</v>
      </c>
      <c r="H389" s="20"/>
      <c r="I389" s="20"/>
      <c r="J389" s="34" t="s">
        <v>694</v>
      </c>
      <c r="K389" s="34">
        <v>0</v>
      </c>
      <c r="L389" s="34">
        <v>0</v>
      </c>
      <c r="M389" s="20"/>
      <c r="N389" s="102" t="s">
        <v>1355</v>
      </c>
      <c r="O389" s="20"/>
      <c r="P389" s="20" t="s">
        <v>843</v>
      </c>
      <c r="Q389" s="20" t="s">
        <v>845</v>
      </c>
      <c r="R389" s="20"/>
      <c r="S389" s="34">
        <v>476</v>
      </c>
    </row>
    <row r="390" spans="1:19" ht="16.5" x14ac:dyDescent="0.35">
      <c r="A390" s="104" t="str">
        <f>HYPERLINK("https://www.examplebusiness.com/resource-center/retirement/investment-strategies-for-retirement","https://www.examplebusiness.com/resource-center/retirement/investment-strategies-for-retirement")</f>
        <v>https://www.examplebusiness.com/resource-center/retirement/investment-strategies-for-retirement</v>
      </c>
      <c r="B390" s="34">
        <v>200</v>
      </c>
      <c r="C390" s="34"/>
      <c r="D390" s="20" t="s">
        <v>2403</v>
      </c>
      <c r="E390" s="34" t="s">
        <v>691</v>
      </c>
      <c r="F390" s="34">
        <v>52</v>
      </c>
      <c r="G390" s="34">
        <v>456</v>
      </c>
      <c r="H390" s="20"/>
      <c r="I390" s="20"/>
      <c r="J390" s="34" t="s">
        <v>694</v>
      </c>
      <c r="K390" s="34">
        <v>0</v>
      </c>
      <c r="L390" s="34">
        <v>0</v>
      </c>
      <c r="M390" s="20"/>
      <c r="N390" s="102" t="s">
        <v>1356</v>
      </c>
      <c r="O390" s="20"/>
      <c r="P390" s="20" t="s">
        <v>866</v>
      </c>
      <c r="Q390" s="20" t="s">
        <v>843</v>
      </c>
      <c r="R390" s="20"/>
      <c r="S390" s="34">
        <v>120</v>
      </c>
    </row>
    <row r="391" spans="1:19" ht="16.5" x14ac:dyDescent="0.35">
      <c r="A391" s="104" t="str">
        <f>HYPERLINK("https://www.examplebusiness.com/resource-center/retirement/investment-strategies-for-retirement?responsive=false","https://www.examplebusiness.com/resource-center/retirement/investment-strategies-for-retirement?responsive=false")</f>
        <v>https://www.examplebusiness.com/resource-center/retirement/investment-strategies-for-retirement?responsive=false</v>
      </c>
      <c r="B391" s="34">
        <v>200</v>
      </c>
      <c r="C391" s="34"/>
      <c r="D391" s="20" t="s">
        <v>2403</v>
      </c>
      <c r="E391" s="34" t="s">
        <v>691</v>
      </c>
      <c r="F391" s="34">
        <v>52</v>
      </c>
      <c r="G391" s="34">
        <v>456</v>
      </c>
      <c r="H391" s="20"/>
      <c r="I391" s="20"/>
      <c r="J391" s="34" t="s">
        <v>694</v>
      </c>
      <c r="K391" s="34">
        <v>0</v>
      </c>
      <c r="L391" s="34">
        <v>0</v>
      </c>
      <c r="M391" s="20"/>
      <c r="N391" s="102" t="s">
        <v>1356</v>
      </c>
      <c r="O391" s="20"/>
      <c r="P391" s="20" t="s">
        <v>866</v>
      </c>
      <c r="Q391" s="20" t="s">
        <v>843</v>
      </c>
      <c r="R391" s="20"/>
      <c r="S391" s="34">
        <v>120</v>
      </c>
    </row>
    <row r="392" spans="1:19" ht="16.5" x14ac:dyDescent="0.35">
      <c r="A392" s="104" t="str">
        <f>HYPERLINK("https://www.examplebusiness.com/resource-center/retirement/ira-withdrawals-that-escape-the-10-percent-tax-penalty","https://www.examplebusiness.com/resource-center/retirement/ira-withdrawals-that-escape-the-10-percent-tax-penalty")</f>
        <v>https://www.examplebusiness.com/resource-center/retirement/ira-withdrawals-that-escape-the-10-percent-tax-penalty</v>
      </c>
      <c r="B392" s="34">
        <v>200</v>
      </c>
      <c r="C392" s="34"/>
      <c r="D392" s="20" t="s">
        <v>2404</v>
      </c>
      <c r="E392" s="34" t="s">
        <v>691</v>
      </c>
      <c r="F392" s="34">
        <v>63</v>
      </c>
      <c r="G392" s="34">
        <v>579</v>
      </c>
      <c r="H392" s="20"/>
      <c r="I392" s="20"/>
      <c r="J392" s="34" t="s">
        <v>694</v>
      </c>
      <c r="K392" s="34">
        <v>0</v>
      </c>
      <c r="L392" s="34">
        <v>0</v>
      </c>
      <c r="M392" s="20"/>
      <c r="N392" s="102" t="s">
        <v>1357</v>
      </c>
      <c r="O392" s="20"/>
      <c r="P392" s="20" t="s">
        <v>1358</v>
      </c>
      <c r="Q392" s="20" t="s">
        <v>843</v>
      </c>
      <c r="R392" s="20"/>
      <c r="S392" s="34">
        <v>831</v>
      </c>
    </row>
    <row r="393" spans="1:19" ht="16.5" x14ac:dyDescent="0.35">
      <c r="A393" s="104" t="str">
        <f>HYPERLINK("https://www.examplebusiness.com/resource-center/retirement/is-a-sep-ira-right-for-your-business","https://www.examplebusiness.com/resource-center/retirement/is-a-sep-ira-right-for-your-business")</f>
        <v>https://www.examplebusiness.com/resource-center/retirement/is-a-sep-ira-right-for-your-business</v>
      </c>
      <c r="B393" s="34">
        <v>200</v>
      </c>
      <c r="C393" s="34"/>
      <c r="D393" s="20" t="s">
        <v>2405</v>
      </c>
      <c r="E393" s="34" t="s">
        <v>691</v>
      </c>
      <c r="F393" s="34">
        <v>53</v>
      </c>
      <c r="G393" s="34">
        <v>475</v>
      </c>
      <c r="H393" s="20"/>
      <c r="I393" s="20"/>
      <c r="J393" s="34" t="s">
        <v>694</v>
      </c>
      <c r="K393" s="34">
        <v>0</v>
      </c>
      <c r="L393" s="34">
        <v>0</v>
      </c>
      <c r="M393" s="20"/>
      <c r="N393" s="102" t="s">
        <v>1359</v>
      </c>
      <c r="O393" s="20"/>
      <c r="P393" s="20" t="s">
        <v>1360</v>
      </c>
      <c r="Q393" s="20" t="s">
        <v>1361</v>
      </c>
      <c r="R393" s="20"/>
      <c r="S393" s="34">
        <v>685</v>
      </c>
    </row>
    <row r="394" spans="1:19" ht="16.5" x14ac:dyDescent="0.35">
      <c r="A394" s="104" t="str">
        <f>HYPERLINK("https://www.examplebusiness.com/resource-center/retirement/is-a-variable-annuity-right-for-me","https://www.examplebusiness.com/resource-center/retirement/is-a-variable-annuity-right-for-me")</f>
        <v>https://www.examplebusiness.com/resource-center/retirement/is-a-variable-annuity-right-for-me</v>
      </c>
      <c r="B394" s="34">
        <v>200</v>
      </c>
      <c r="C394" s="34"/>
      <c r="D394" s="20" t="s">
        <v>2406</v>
      </c>
      <c r="E394" s="34" t="s">
        <v>691</v>
      </c>
      <c r="F394" s="34">
        <v>51</v>
      </c>
      <c r="G394" s="34">
        <v>439</v>
      </c>
      <c r="H394" s="20"/>
      <c r="I394" s="20"/>
      <c r="J394" s="34" t="s">
        <v>694</v>
      </c>
      <c r="K394" s="34">
        <v>0</v>
      </c>
      <c r="L394" s="34">
        <v>0</v>
      </c>
      <c r="M394" s="20"/>
      <c r="N394" s="102" t="s">
        <v>1362</v>
      </c>
      <c r="O394" s="20"/>
      <c r="P394" s="20" t="s">
        <v>843</v>
      </c>
      <c r="Q394" s="20" t="s">
        <v>845</v>
      </c>
      <c r="R394" s="20"/>
      <c r="S394" s="34">
        <v>583</v>
      </c>
    </row>
    <row r="395" spans="1:19" ht="16.5" x14ac:dyDescent="0.35">
      <c r="A395" s="104" t="str">
        <f>HYPERLINK("https://www.examplebusiness.com/resource-center/retirement/lesser-known-provisions-of-the-secure-act","https://www.examplebusiness.com/resource-center/retirement/lesser-known-provisions-of-the-secure-act")</f>
        <v>https://www.examplebusiness.com/resource-center/retirement/lesser-known-provisions-of-the-secure-act</v>
      </c>
      <c r="B395" s="34">
        <v>200</v>
      </c>
      <c r="C395" s="34"/>
      <c r="D395" s="20" t="s">
        <v>2407</v>
      </c>
      <c r="E395" s="34" t="s">
        <v>691</v>
      </c>
      <c r="F395" s="34">
        <v>57</v>
      </c>
      <c r="G395" s="34">
        <v>530</v>
      </c>
      <c r="H395" s="20"/>
      <c r="I395" s="20"/>
      <c r="J395" s="34" t="s">
        <v>694</v>
      </c>
      <c r="K395" s="34">
        <v>0</v>
      </c>
      <c r="L395" s="34">
        <v>0</v>
      </c>
      <c r="M395" s="20"/>
      <c r="N395" s="102" t="s">
        <v>1363</v>
      </c>
      <c r="O395" s="20"/>
      <c r="P395" s="20" t="s">
        <v>1364</v>
      </c>
      <c r="Q395" s="20" t="s">
        <v>1365</v>
      </c>
      <c r="R395" s="20"/>
      <c r="S395" s="34">
        <v>947</v>
      </c>
    </row>
    <row r="396" spans="1:19" ht="16.5" x14ac:dyDescent="0.35">
      <c r="A396" s="104" t="str">
        <f>HYPERLINK("https://www.examplebusiness.com/resource-center/retirement/maximizing-your-social-security-benefits","https://www.examplebusiness.com/resource-center/retirement/maximizing-your-social-security-benefits")</f>
        <v>https://www.examplebusiness.com/resource-center/retirement/maximizing-your-social-security-benefits</v>
      </c>
      <c r="B396" s="34">
        <v>200</v>
      </c>
      <c r="C396" s="34"/>
      <c r="D396" s="20" t="s">
        <v>1366</v>
      </c>
      <c r="E396" s="34" t="s">
        <v>691</v>
      </c>
      <c r="F396" s="34">
        <v>57</v>
      </c>
      <c r="G396" s="34">
        <v>498</v>
      </c>
      <c r="H396" s="20"/>
      <c r="I396" s="20"/>
      <c r="J396" s="34" t="s">
        <v>694</v>
      </c>
      <c r="K396" s="34">
        <v>0</v>
      </c>
      <c r="L396" s="34">
        <v>0</v>
      </c>
      <c r="M396" s="20"/>
      <c r="N396" s="102" t="s">
        <v>1367</v>
      </c>
      <c r="O396" s="20"/>
      <c r="P396" s="20" t="s">
        <v>1368</v>
      </c>
      <c r="Q396" s="20" t="s">
        <v>1369</v>
      </c>
      <c r="R396" s="20"/>
      <c r="S396" s="34">
        <v>716</v>
      </c>
    </row>
    <row r="397" spans="1:19" ht="16.5" x14ac:dyDescent="0.35">
      <c r="A397" s="104" t="str">
        <f>HYPERLINK("https://www.examplebusiness.com/resource-center/retirement/money-that-buys-good-health","https://www.examplebusiness.com/resource-center/retirement/money-that-buys-good-health")</f>
        <v>https://www.examplebusiness.com/resource-center/retirement/money-that-buys-good-health</v>
      </c>
      <c r="B397" s="34">
        <v>200</v>
      </c>
      <c r="C397" s="34"/>
      <c r="D397" s="20" t="s">
        <v>2408</v>
      </c>
      <c r="E397" s="34" t="s">
        <v>691</v>
      </c>
      <c r="F397" s="34">
        <v>62</v>
      </c>
      <c r="G397" s="34">
        <v>550</v>
      </c>
      <c r="H397" s="20"/>
      <c r="I397" s="20"/>
      <c r="J397" s="34" t="s">
        <v>694</v>
      </c>
      <c r="K397" s="34">
        <v>0</v>
      </c>
      <c r="L397" s="34">
        <v>0</v>
      </c>
      <c r="M397" s="20"/>
      <c r="N397" s="102" t="s">
        <v>1370</v>
      </c>
      <c r="O397" s="20"/>
      <c r="P397" s="20" t="s">
        <v>843</v>
      </c>
      <c r="Q397" s="20" t="s">
        <v>845</v>
      </c>
      <c r="R397" s="20"/>
      <c r="S397" s="34">
        <v>439</v>
      </c>
    </row>
    <row r="398" spans="1:19" ht="16.5" x14ac:dyDescent="0.35">
      <c r="A398" s="104" t="str">
        <f>HYPERLINK("https://www.examplebusiness.com/resource-center/retirement/my-retirement-savings","https://www.examplebusiness.com/resource-center/retirement/my-retirement-savings")</f>
        <v>https://www.examplebusiness.com/resource-center/retirement/my-retirement-savings</v>
      </c>
      <c r="B398" s="34">
        <v>200</v>
      </c>
      <c r="C398" s="34"/>
      <c r="D398" s="20" t="s">
        <v>2409</v>
      </c>
      <c r="E398" s="34" t="s">
        <v>691</v>
      </c>
      <c r="F398" s="34">
        <v>37</v>
      </c>
      <c r="G398" s="34">
        <v>336</v>
      </c>
      <c r="H398" s="20"/>
      <c r="I398" s="20"/>
      <c r="J398" s="34" t="s">
        <v>694</v>
      </c>
      <c r="K398" s="34">
        <v>0</v>
      </c>
      <c r="L398" s="34">
        <v>0</v>
      </c>
      <c r="M398" s="20"/>
      <c r="N398" s="102" t="s">
        <v>1371</v>
      </c>
      <c r="O398" s="20"/>
      <c r="P398" s="20" t="s">
        <v>843</v>
      </c>
      <c r="Q398" s="20" t="s">
        <v>845</v>
      </c>
      <c r="R398" s="20"/>
      <c r="S398" s="34">
        <v>118</v>
      </c>
    </row>
    <row r="399" spans="1:19" ht="16.5" x14ac:dyDescent="0.35">
      <c r="A399" s="104" t="str">
        <f>HYPERLINK("https://www.examplebusiness.com/resource-center/retirement/orchestrating-your-retirement-accounts","https://www.examplebusiness.com/resource-center/retirement/orchestrating-your-retirement-accounts")</f>
        <v>https://www.examplebusiness.com/resource-center/retirement/orchestrating-your-retirement-accounts</v>
      </c>
      <c r="B399" s="34">
        <v>200</v>
      </c>
      <c r="C399" s="34"/>
      <c r="D399" s="20" t="s">
        <v>2410</v>
      </c>
      <c r="E399" s="34" t="s">
        <v>691</v>
      </c>
      <c r="F399" s="34">
        <v>54</v>
      </c>
      <c r="G399" s="34">
        <v>488</v>
      </c>
      <c r="H399" s="20"/>
      <c r="I399" s="20"/>
      <c r="J399" s="34" t="s">
        <v>694</v>
      </c>
      <c r="K399" s="34">
        <v>0</v>
      </c>
      <c r="L399" s="34">
        <v>0</v>
      </c>
      <c r="M399" s="20"/>
      <c r="N399" s="102" t="s">
        <v>1372</v>
      </c>
      <c r="O399" s="20"/>
      <c r="P399" s="20" t="s">
        <v>1373</v>
      </c>
      <c r="Q399" s="20" t="s">
        <v>1374</v>
      </c>
      <c r="R399" s="20"/>
      <c r="S399" s="34">
        <v>874</v>
      </c>
    </row>
    <row r="400" spans="1:19" ht="16.5" x14ac:dyDescent="0.35">
      <c r="A400" s="104" t="str">
        <f>HYPERLINK("https://www.examplebusiness.com/resource-center/retirement/perception-vs-reality","https://www.examplebusiness.com/resource-center/retirement/perception-vs-reality")</f>
        <v>https://www.examplebusiness.com/resource-center/retirement/perception-vs-reality</v>
      </c>
      <c r="B400" s="34">
        <v>200</v>
      </c>
      <c r="C400" s="34"/>
      <c r="D400" s="20" t="s">
        <v>2411</v>
      </c>
      <c r="E400" s="34" t="s">
        <v>691</v>
      </c>
      <c r="F400" s="34">
        <v>38</v>
      </c>
      <c r="G400" s="34">
        <v>324</v>
      </c>
      <c r="H400" s="20"/>
      <c r="I400" s="20"/>
      <c r="J400" s="34" t="s">
        <v>694</v>
      </c>
      <c r="K400" s="34">
        <v>0</v>
      </c>
      <c r="L400" s="34">
        <v>0</v>
      </c>
      <c r="M400" s="20"/>
      <c r="N400" s="102" t="s">
        <v>1375</v>
      </c>
      <c r="O400" s="20"/>
      <c r="P400" s="20" t="s">
        <v>843</v>
      </c>
      <c r="Q400" s="20" t="s">
        <v>845</v>
      </c>
      <c r="R400" s="20"/>
      <c r="S400" s="34">
        <v>103</v>
      </c>
    </row>
    <row r="401" spans="1:19" ht="16.5" x14ac:dyDescent="0.35">
      <c r="A401" s="104" t="str">
        <f>HYPERLINK("https://www.examplebusiness.com/resource-center/retirement/potential-income-from-an-ira","https://www.examplebusiness.com/resource-center/retirement/potential-income-from-an-ira")</f>
        <v>https://www.examplebusiness.com/resource-center/retirement/potential-income-from-an-ira</v>
      </c>
      <c r="B401" s="34">
        <v>200</v>
      </c>
      <c r="C401" s="34"/>
      <c r="D401" s="20" t="s">
        <v>2412</v>
      </c>
      <c r="E401" s="34" t="s">
        <v>691</v>
      </c>
      <c r="F401" s="34">
        <v>44</v>
      </c>
      <c r="G401" s="34">
        <v>391</v>
      </c>
      <c r="H401" s="20"/>
      <c r="I401" s="20"/>
      <c r="J401" s="34" t="s">
        <v>694</v>
      </c>
      <c r="K401" s="34">
        <v>0</v>
      </c>
      <c r="L401" s="34">
        <v>0</v>
      </c>
      <c r="M401" s="20"/>
      <c r="N401" s="102" t="s">
        <v>1376</v>
      </c>
      <c r="O401" s="20"/>
      <c r="P401" s="20" t="s">
        <v>843</v>
      </c>
      <c r="Q401" s="20" t="s">
        <v>845</v>
      </c>
      <c r="R401" s="20"/>
      <c r="S401" s="34">
        <v>122</v>
      </c>
    </row>
    <row r="402" spans="1:19" ht="16.5" x14ac:dyDescent="0.35">
      <c r="A402" s="104" t="str">
        <f>HYPERLINK("https://www.examplebusiness.com/resource-center/retirement/re-retirement","https://www.examplebusiness.com/resource-center/retirement/re-retirement")</f>
        <v>https://www.examplebusiness.com/resource-center/retirement/re-retirement</v>
      </c>
      <c r="B402" s="34">
        <v>200</v>
      </c>
      <c r="C402" s="34"/>
      <c r="D402" s="20" t="s">
        <v>2413</v>
      </c>
      <c r="E402" s="34" t="s">
        <v>691</v>
      </c>
      <c r="F402" s="34">
        <v>30</v>
      </c>
      <c r="G402" s="34">
        <v>268</v>
      </c>
      <c r="H402" s="20"/>
      <c r="I402" s="20"/>
      <c r="J402" s="34" t="s">
        <v>694</v>
      </c>
      <c r="K402" s="34">
        <v>0</v>
      </c>
      <c r="L402" s="34">
        <v>0</v>
      </c>
      <c r="M402" s="20"/>
      <c r="N402" s="102" t="s">
        <v>1307</v>
      </c>
      <c r="O402" s="20"/>
      <c r="P402" s="20" t="s">
        <v>843</v>
      </c>
      <c r="Q402" s="20" t="s">
        <v>845</v>
      </c>
      <c r="R402" s="20"/>
      <c r="S402" s="34">
        <v>115</v>
      </c>
    </row>
    <row r="403" spans="1:19" ht="16.5" x14ac:dyDescent="0.35">
      <c r="A403" s="104" t="str">
        <f>HYPERLINK("https://www.examplebusiness.com/resource-center/retirement/retirement-income-and-the-traditional-portfolio","https://www.examplebusiness.com/resource-center/retirement/retirement-income-and-the-traditional-portfolio")</f>
        <v>https://www.examplebusiness.com/resource-center/retirement/retirement-income-and-the-traditional-portfolio</v>
      </c>
      <c r="B403" s="34">
        <v>200</v>
      </c>
      <c r="C403" s="34"/>
      <c r="D403" s="20" t="s">
        <v>2414</v>
      </c>
      <c r="E403" s="34" t="s">
        <v>691</v>
      </c>
      <c r="F403" s="34">
        <v>63</v>
      </c>
      <c r="G403" s="34">
        <v>546</v>
      </c>
      <c r="H403" s="20"/>
      <c r="I403" s="20"/>
      <c r="J403" s="34" t="s">
        <v>694</v>
      </c>
      <c r="K403" s="34">
        <v>0</v>
      </c>
      <c r="L403" s="34">
        <v>0</v>
      </c>
      <c r="M403" s="20"/>
      <c r="N403" s="102" t="s">
        <v>1377</v>
      </c>
      <c r="O403" s="20"/>
      <c r="P403" s="20" t="s">
        <v>1378</v>
      </c>
      <c r="Q403" s="20" t="s">
        <v>1379</v>
      </c>
      <c r="R403" s="20"/>
      <c r="S403" s="34">
        <v>742</v>
      </c>
    </row>
    <row r="404" spans="1:19" ht="16.5" x14ac:dyDescent="0.35">
      <c r="A404" s="104" t="str">
        <f>HYPERLINK("https://www.examplebusiness.com/resource-center/retirement/retirement-realities","https://www.examplebusiness.com/resource-center/retirement/retirement-realities")</f>
        <v>https://www.examplebusiness.com/resource-center/retirement/retirement-realities</v>
      </c>
      <c r="B404" s="34">
        <v>200</v>
      </c>
      <c r="C404" s="34"/>
      <c r="D404" s="20" t="s">
        <v>2415</v>
      </c>
      <c r="E404" s="34" t="s">
        <v>691</v>
      </c>
      <c r="F404" s="34">
        <v>36</v>
      </c>
      <c r="G404" s="34">
        <v>310</v>
      </c>
      <c r="H404" s="20"/>
      <c r="I404" s="20"/>
      <c r="J404" s="34" t="s">
        <v>694</v>
      </c>
      <c r="K404" s="34">
        <v>0</v>
      </c>
      <c r="L404" s="34">
        <v>0</v>
      </c>
      <c r="M404" s="20"/>
      <c r="N404" s="102" t="s">
        <v>1380</v>
      </c>
      <c r="O404" s="20"/>
      <c r="P404" s="20" t="s">
        <v>1381</v>
      </c>
      <c r="Q404" s="20" t="s">
        <v>1382</v>
      </c>
      <c r="R404" s="20"/>
      <c r="S404" s="34">
        <v>669</v>
      </c>
    </row>
    <row r="405" spans="1:19" ht="16.5" x14ac:dyDescent="0.35">
      <c r="A405" s="104" t="str">
        <f>HYPERLINK("https://www.examplebusiness.com/resource-center/retirement/retirement-redefined","https://www.examplebusiness.com/resource-center/retirement/retirement-redefined")</f>
        <v>https://www.examplebusiness.com/resource-center/retirement/retirement-redefined</v>
      </c>
      <c r="B405" s="34">
        <v>200</v>
      </c>
      <c r="C405" s="34"/>
      <c r="D405" s="20" t="s">
        <v>2416</v>
      </c>
      <c r="E405" s="34" t="s">
        <v>691</v>
      </c>
      <c r="F405" s="34">
        <v>36</v>
      </c>
      <c r="G405" s="34">
        <v>324</v>
      </c>
      <c r="H405" s="20"/>
      <c r="I405" s="20"/>
      <c r="J405" s="34" t="s">
        <v>694</v>
      </c>
      <c r="K405" s="34">
        <v>0</v>
      </c>
      <c r="L405" s="34">
        <v>0</v>
      </c>
      <c r="M405" s="20"/>
      <c r="N405" s="102" t="s">
        <v>1383</v>
      </c>
      <c r="O405" s="20"/>
      <c r="P405" s="20" t="s">
        <v>843</v>
      </c>
      <c r="Q405" s="20" t="s">
        <v>845</v>
      </c>
      <c r="R405" s="20"/>
      <c r="S405" s="34">
        <v>89</v>
      </c>
    </row>
    <row r="406" spans="1:19" ht="16.5" x14ac:dyDescent="0.35">
      <c r="A406" s="104" t="str">
        <f>HYPERLINK("https://www.examplebusiness.com/resource-center/retirement/retirement-traps-to-avoid","https://www.examplebusiness.com/resource-center/retirement/retirement-traps-to-avoid")</f>
        <v>https://www.examplebusiness.com/resource-center/retirement/retirement-traps-to-avoid</v>
      </c>
      <c r="B406" s="34">
        <v>200</v>
      </c>
      <c r="C406" s="34"/>
      <c r="D406" s="20" t="s">
        <v>2417</v>
      </c>
      <c r="E406" s="34" t="s">
        <v>691</v>
      </c>
      <c r="F406" s="34">
        <v>41</v>
      </c>
      <c r="G406" s="34">
        <v>363</v>
      </c>
      <c r="H406" s="20"/>
      <c r="I406" s="20"/>
      <c r="J406" s="34" t="s">
        <v>694</v>
      </c>
      <c r="K406" s="34">
        <v>0</v>
      </c>
      <c r="L406" s="34">
        <v>0</v>
      </c>
      <c r="M406" s="20"/>
      <c r="N406" s="102" t="s">
        <v>1384</v>
      </c>
      <c r="O406" s="20"/>
      <c r="P406" s="20" t="s">
        <v>843</v>
      </c>
      <c r="Q406" s="20" t="s">
        <v>845</v>
      </c>
      <c r="R406" s="20"/>
      <c r="S406" s="34">
        <v>99</v>
      </c>
    </row>
    <row r="407" spans="1:19" ht="16.5" x14ac:dyDescent="0.35">
      <c r="A407" s="104" t="str">
        <f>HYPERLINK("https://www.examplebusiness.com/resource-center/retirement/retiring-in-a-post-pandemic-world","https://www.examplebusiness.com/resource-center/retirement/retiring-in-a-post-pandemic-world")</f>
        <v>https://www.examplebusiness.com/resource-center/retirement/retiring-in-a-post-pandemic-world</v>
      </c>
      <c r="B407" s="34">
        <v>200</v>
      </c>
      <c r="C407" s="34"/>
      <c r="D407" s="20" t="s">
        <v>2418</v>
      </c>
      <c r="E407" s="34" t="s">
        <v>691</v>
      </c>
      <c r="F407" s="34">
        <v>49</v>
      </c>
      <c r="G407" s="34">
        <v>434</v>
      </c>
      <c r="H407" s="20"/>
      <c r="I407" s="20"/>
      <c r="J407" s="34" t="s">
        <v>694</v>
      </c>
      <c r="K407" s="34">
        <v>0</v>
      </c>
      <c r="L407" s="34">
        <v>0</v>
      </c>
      <c r="M407" s="20"/>
      <c r="N407" s="102" t="s">
        <v>1385</v>
      </c>
      <c r="O407" s="20"/>
      <c r="P407" s="20" t="s">
        <v>843</v>
      </c>
      <c r="Q407" s="20" t="s">
        <v>845</v>
      </c>
      <c r="R407" s="20"/>
      <c r="S407" s="34">
        <v>110</v>
      </c>
    </row>
    <row r="408" spans="1:19" ht="16.5" x14ac:dyDescent="0.35">
      <c r="A408" s="104" t="str">
        <f>HYPERLINK("https://www.examplebusiness.com/resource-center/retirement/retiring-the-4-percent-rule","https://www.examplebusiness.com/resource-center/retirement/retiring-the-4-percent-rule")</f>
        <v>https://www.examplebusiness.com/resource-center/retirement/retiring-the-4-percent-rule</v>
      </c>
      <c r="B408" s="34">
        <v>200</v>
      </c>
      <c r="C408" s="34"/>
      <c r="D408" s="20" t="s">
        <v>2419</v>
      </c>
      <c r="E408" s="34" t="s">
        <v>691</v>
      </c>
      <c r="F408" s="34">
        <v>36</v>
      </c>
      <c r="G408" s="34">
        <v>313</v>
      </c>
      <c r="H408" s="20"/>
      <c r="I408" s="20"/>
      <c r="J408" s="34" t="s">
        <v>694</v>
      </c>
      <c r="K408" s="34">
        <v>0</v>
      </c>
      <c r="L408" s="34">
        <v>0</v>
      </c>
      <c r="M408" s="20"/>
      <c r="N408" s="102" t="s">
        <v>1386</v>
      </c>
      <c r="O408" s="20"/>
      <c r="P408" s="20" t="s">
        <v>843</v>
      </c>
      <c r="Q408" s="20" t="s">
        <v>845</v>
      </c>
      <c r="R408" s="20"/>
      <c r="S408" s="34">
        <v>117</v>
      </c>
    </row>
    <row r="409" spans="1:19" ht="16.5" x14ac:dyDescent="0.35">
      <c r="A409" s="104" t="str">
        <f>HYPERLINK("https://www.examplebusiness.com/resource-center/retirement/rightsizing-for-retirement","https://www.examplebusiness.com/resource-center/retirement/rightsizing-for-retirement")</f>
        <v>https://www.examplebusiness.com/resource-center/retirement/rightsizing-for-retirement</v>
      </c>
      <c r="B409" s="34">
        <v>200</v>
      </c>
      <c r="C409" s="34"/>
      <c r="D409" s="20" t="s">
        <v>2420</v>
      </c>
      <c r="E409" s="34" t="s">
        <v>691</v>
      </c>
      <c r="F409" s="34">
        <v>42</v>
      </c>
      <c r="G409" s="34">
        <v>358</v>
      </c>
      <c r="H409" s="20"/>
      <c r="I409" s="20"/>
      <c r="J409" s="34" t="s">
        <v>694</v>
      </c>
      <c r="K409" s="34">
        <v>0</v>
      </c>
      <c r="L409" s="34">
        <v>0</v>
      </c>
      <c r="M409" s="20"/>
      <c r="N409" s="102" t="s">
        <v>1387</v>
      </c>
      <c r="O409" s="20"/>
      <c r="P409" s="20" t="s">
        <v>843</v>
      </c>
      <c r="Q409" s="20" t="s">
        <v>845</v>
      </c>
      <c r="R409" s="20"/>
      <c r="S409" s="34">
        <v>103</v>
      </c>
    </row>
    <row r="410" spans="1:19" ht="16.5" x14ac:dyDescent="0.35">
      <c r="A410" s="104" t="str">
        <f>HYPERLINK("https://www.examplebusiness.com/resource-center/retirement/risk-tolerance-whats-your-style","https://www.examplebusiness.com/resource-center/retirement/risk-tolerance-whats-your-style")</f>
        <v>https://www.examplebusiness.com/resource-center/retirement/risk-tolerance-whats-your-style</v>
      </c>
      <c r="B410" s="34">
        <v>200</v>
      </c>
      <c r="C410" s="34"/>
      <c r="D410" s="20" t="s">
        <v>2421</v>
      </c>
      <c r="E410" s="34" t="s">
        <v>691</v>
      </c>
      <c r="F410" s="34">
        <v>50</v>
      </c>
      <c r="G410" s="34">
        <v>445</v>
      </c>
      <c r="H410" s="20"/>
      <c r="I410" s="20"/>
      <c r="J410" s="34" t="s">
        <v>694</v>
      </c>
      <c r="K410" s="34">
        <v>0</v>
      </c>
      <c r="L410" s="34">
        <v>0</v>
      </c>
      <c r="M410" s="20"/>
      <c r="N410" s="102" t="s">
        <v>1388</v>
      </c>
      <c r="O410" s="20"/>
      <c r="P410" s="20" t="s">
        <v>843</v>
      </c>
      <c r="Q410" s="20" t="s">
        <v>845</v>
      </c>
      <c r="R410" s="20"/>
      <c r="S410" s="34">
        <v>109</v>
      </c>
    </row>
    <row r="411" spans="1:19" ht="16.5" x14ac:dyDescent="0.35">
      <c r="A411" s="104" t="str">
        <f>HYPERLINK("https://www.examplebusiness.com/resource-center/retirement/roth-401k-vs-traditional-401k","https://www.examplebusiness.com/resource-center/retirement/roth-401k-vs-traditional-401k")</f>
        <v>https://www.examplebusiness.com/resource-center/retirement/roth-401k-vs-traditional-401k</v>
      </c>
      <c r="B411" s="34">
        <v>200</v>
      </c>
      <c r="C411" s="34"/>
      <c r="D411" s="20" t="s">
        <v>2422</v>
      </c>
      <c r="E411" s="34" t="s">
        <v>691</v>
      </c>
      <c r="F411" s="34">
        <v>50</v>
      </c>
      <c r="G411" s="34">
        <v>428</v>
      </c>
      <c r="H411" s="20"/>
      <c r="I411" s="20"/>
      <c r="J411" s="34" t="s">
        <v>694</v>
      </c>
      <c r="K411" s="34">
        <v>0</v>
      </c>
      <c r="L411" s="34">
        <v>0</v>
      </c>
      <c r="M411" s="20"/>
      <c r="N411" s="102" t="s">
        <v>1389</v>
      </c>
      <c r="O411" s="20"/>
      <c r="P411" s="20" t="s">
        <v>843</v>
      </c>
      <c r="Q411" s="20" t="s">
        <v>845</v>
      </c>
      <c r="R411" s="20"/>
      <c r="S411" s="34">
        <v>115</v>
      </c>
    </row>
    <row r="412" spans="1:19" ht="16.5" x14ac:dyDescent="0.35">
      <c r="A412" s="104" t="str">
        <f>HYPERLINK("https://www.examplebusiness.com/resource-center/retirement/saving-for-retirement","https://www.examplebusiness.com/resource-center/retirement/saving-for-retirement")</f>
        <v>https://www.examplebusiness.com/resource-center/retirement/saving-for-retirement</v>
      </c>
      <c r="B412" s="34">
        <v>200</v>
      </c>
      <c r="C412" s="34"/>
      <c r="D412" s="20" t="s">
        <v>2423</v>
      </c>
      <c r="E412" s="34" t="s">
        <v>691</v>
      </c>
      <c r="F412" s="34">
        <v>37</v>
      </c>
      <c r="G412" s="34">
        <v>323</v>
      </c>
      <c r="H412" s="20"/>
      <c r="I412" s="20"/>
      <c r="J412" s="34" t="s">
        <v>694</v>
      </c>
      <c r="K412" s="34">
        <v>0</v>
      </c>
      <c r="L412" s="34">
        <v>0</v>
      </c>
      <c r="M412" s="20"/>
      <c r="N412" s="102" t="s">
        <v>1390</v>
      </c>
      <c r="O412" s="20"/>
      <c r="P412" s="20" t="s">
        <v>843</v>
      </c>
      <c r="Q412" s="20" t="s">
        <v>845</v>
      </c>
      <c r="R412" s="20"/>
      <c r="S412" s="34">
        <v>118</v>
      </c>
    </row>
    <row r="413" spans="1:19" ht="16.5" x14ac:dyDescent="0.35">
      <c r="A413" s="104" t="str">
        <f>HYPERLINK("https://www.examplebusiness.com/resource-center/retirement/self-employed-retirement-plans","https://www.examplebusiness.com/resource-center/retirement/self-employed-retirement-plans")</f>
        <v>https://www.examplebusiness.com/resource-center/retirement/self-employed-retirement-plans</v>
      </c>
      <c r="B413" s="34">
        <v>200</v>
      </c>
      <c r="C413" s="34"/>
      <c r="D413" s="20" t="s">
        <v>2424</v>
      </c>
      <c r="E413" s="34" t="s">
        <v>691</v>
      </c>
      <c r="F413" s="34">
        <v>46</v>
      </c>
      <c r="G413" s="34">
        <v>417</v>
      </c>
      <c r="H413" s="20"/>
      <c r="I413" s="20"/>
      <c r="J413" s="34" t="s">
        <v>694</v>
      </c>
      <c r="K413" s="34">
        <v>0</v>
      </c>
      <c r="L413" s="34">
        <v>0</v>
      </c>
      <c r="M413" s="20"/>
      <c r="N413" s="102" t="s">
        <v>1391</v>
      </c>
      <c r="O413" s="20"/>
      <c r="P413" s="20" t="s">
        <v>843</v>
      </c>
      <c r="Q413" s="20" t="s">
        <v>845</v>
      </c>
      <c r="R413" s="20"/>
      <c r="S413" s="34">
        <v>134</v>
      </c>
    </row>
    <row r="414" spans="1:19" ht="16.5" x14ac:dyDescent="0.35">
      <c r="A414" s="104" t="str">
        <f>HYPERLINK("https://www.examplebusiness.com/resource-center/retirement/should-you-borrow-from-your-401k","https://www.examplebusiness.com/resource-center/retirement/should-you-borrow-from-your-401k")</f>
        <v>https://www.examplebusiness.com/resource-center/retirement/should-you-borrow-from-your-401k</v>
      </c>
      <c r="B414" s="34">
        <v>200</v>
      </c>
      <c r="C414" s="34"/>
      <c r="D414" s="20" t="s">
        <v>2425</v>
      </c>
      <c r="E414" s="34" t="s">
        <v>691</v>
      </c>
      <c r="F414" s="34">
        <v>51</v>
      </c>
      <c r="G414" s="34">
        <v>471</v>
      </c>
      <c r="H414" s="20"/>
      <c r="I414" s="20"/>
      <c r="J414" s="34" t="s">
        <v>694</v>
      </c>
      <c r="K414" s="34">
        <v>0</v>
      </c>
      <c r="L414" s="34">
        <v>0</v>
      </c>
      <c r="M414" s="20"/>
      <c r="N414" s="102" t="s">
        <v>1392</v>
      </c>
      <c r="O414" s="20"/>
      <c r="P414" s="20" t="s">
        <v>1393</v>
      </c>
      <c r="Q414" s="20" t="s">
        <v>1394</v>
      </c>
      <c r="R414" s="20"/>
      <c r="S414" s="34">
        <v>616</v>
      </c>
    </row>
    <row r="415" spans="1:19" ht="16.5" x14ac:dyDescent="0.35">
      <c r="A415" s="104" t="str">
        <f>HYPERLINK("https://www.examplebusiness.com/resource-center/retirement/should-you-ever-retire","https://www.examplebusiness.com/resource-center/retirement/should-you-ever-retire")</f>
        <v>https://www.examplebusiness.com/resource-center/retirement/should-you-ever-retire</v>
      </c>
      <c r="B415" s="34">
        <v>200</v>
      </c>
      <c r="C415" s="34"/>
      <c r="D415" s="20" t="s">
        <v>2426</v>
      </c>
      <c r="E415" s="34" t="s">
        <v>691</v>
      </c>
      <c r="F415" s="34">
        <v>39</v>
      </c>
      <c r="G415" s="34">
        <v>349</v>
      </c>
      <c r="H415" s="20"/>
      <c r="I415" s="20"/>
      <c r="J415" s="34" t="s">
        <v>694</v>
      </c>
      <c r="K415" s="34">
        <v>0</v>
      </c>
      <c r="L415" s="34">
        <v>0</v>
      </c>
      <c r="M415" s="20"/>
      <c r="N415" s="102" t="s">
        <v>1395</v>
      </c>
      <c r="O415" s="20"/>
      <c r="P415" s="20" t="s">
        <v>843</v>
      </c>
      <c r="Q415" s="20" t="s">
        <v>845</v>
      </c>
      <c r="R415" s="20"/>
      <c r="S415" s="34">
        <v>115</v>
      </c>
    </row>
    <row r="416" spans="1:19" ht="16.5" x14ac:dyDescent="0.35">
      <c r="A416" s="104" t="str">
        <f>HYPERLINK("https://www.examplebusiness.com/resource-center/retirement/should-you-tap-retirement-savings-to-fund-college","https://www.examplebusiness.com/resource-center/retirement/should-you-tap-retirement-savings-to-fund-college")</f>
        <v>https://www.examplebusiness.com/resource-center/retirement/should-you-tap-retirement-savings-to-fund-college</v>
      </c>
      <c r="B416" s="34">
        <v>200</v>
      </c>
      <c r="C416" s="34"/>
      <c r="D416" s="20" t="s">
        <v>2427</v>
      </c>
      <c r="E416" s="34" t="s">
        <v>691</v>
      </c>
      <c r="F416" s="34">
        <v>66</v>
      </c>
      <c r="G416" s="34">
        <v>604</v>
      </c>
      <c r="H416" s="20"/>
      <c r="I416" s="20"/>
      <c r="J416" s="34" t="s">
        <v>694</v>
      </c>
      <c r="K416" s="34">
        <v>0</v>
      </c>
      <c r="L416" s="34">
        <v>0</v>
      </c>
      <c r="M416" s="20"/>
      <c r="N416" s="102" t="s">
        <v>1396</v>
      </c>
      <c r="O416" s="20"/>
      <c r="P416" s="20" t="s">
        <v>843</v>
      </c>
      <c r="Q416" s="20" t="s">
        <v>845</v>
      </c>
      <c r="R416" s="20"/>
      <c r="S416" s="34">
        <v>114</v>
      </c>
    </row>
    <row r="417" spans="1:19" ht="16.5" x14ac:dyDescent="0.35">
      <c r="A417" s="104" t="str">
        <f>HYPERLINK("https://www.examplebusiness.com/resource-center/retirement/social-security-5-facts-you-need-to-know","https://www.examplebusiness.com/resource-center/retirement/social-security-5-facts-you-need-to-know")</f>
        <v>https://www.examplebusiness.com/resource-center/retirement/social-security-5-facts-you-need-to-know</v>
      </c>
      <c r="B417" s="34">
        <v>200</v>
      </c>
      <c r="C417" s="34"/>
      <c r="D417" s="20" t="s">
        <v>2428</v>
      </c>
      <c r="E417" s="34" t="s">
        <v>691</v>
      </c>
      <c r="F417" s="34">
        <v>60</v>
      </c>
      <c r="G417" s="34">
        <v>537</v>
      </c>
      <c r="H417" s="20"/>
      <c r="I417" s="20"/>
      <c r="J417" s="34" t="s">
        <v>694</v>
      </c>
      <c r="K417" s="34">
        <v>0</v>
      </c>
      <c r="L417" s="34">
        <v>0</v>
      </c>
      <c r="M417" s="20"/>
      <c r="N417" s="102" t="s">
        <v>1397</v>
      </c>
      <c r="O417" s="20"/>
      <c r="P417" s="20" t="s">
        <v>1398</v>
      </c>
      <c r="Q417" s="20" t="s">
        <v>1399</v>
      </c>
      <c r="R417" s="20"/>
      <c r="S417" s="34">
        <v>1749</v>
      </c>
    </row>
    <row r="418" spans="1:19" ht="16.5" x14ac:dyDescent="0.35">
      <c r="A418" s="104" t="str">
        <f>HYPERLINK("https://www.examplebusiness.com/resource-center/retirement/social-security-by-the-numbers","https://www.examplebusiness.com/resource-center/retirement/social-security-by-the-numbers")</f>
        <v>https://www.examplebusiness.com/resource-center/retirement/social-security-by-the-numbers</v>
      </c>
      <c r="B418" s="34">
        <v>200</v>
      </c>
      <c r="C418" s="34"/>
      <c r="D418" s="20" t="s">
        <v>2429</v>
      </c>
      <c r="E418" s="34" t="s">
        <v>691</v>
      </c>
      <c r="F418" s="34">
        <v>47</v>
      </c>
      <c r="G418" s="34">
        <v>415</v>
      </c>
      <c r="H418" s="20"/>
      <c r="I418" s="20"/>
      <c r="J418" s="34" t="s">
        <v>694</v>
      </c>
      <c r="K418" s="34">
        <v>0</v>
      </c>
      <c r="L418" s="34">
        <v>0</v>
      </c>
      <c r="M418" s="20"/>
      <c r="N418" s="102" t="s">
        <v>1400</v>
      </c>
      <c r="O418" s="20"/>
      <c r="P418" s="20" t="s">
        <v>843</v>
      </c>
      <c r="Q418" s="20" t="s">
        <v>845</v>
      </c>
      <c r="R418" s="20"/>
      <c r="S418" s="34">
        <v>93</v>
      </c>
    </row>
    <row r="419" spans="1:19" ht="16.5" x14ac:dyDescent="0.35">
      <c r="A419" s="104" t="str">
        <f>HYPERLINK("https://www.examplebusiness.com/resource-center/retirement/social-security-how-much-will-i-receive","https://www.examplebusiness.com/resource-center/retirement/social-security-how-much-will-i-receive")</f>
        <v>https://www.examplebusiness.com/resource-center/retirement/social-security-how-much-will-i-receive</v>
      </c>
      <c r="B419" s="34">
        <v>200</v>
      </c>
      <c r="C419" s="34"/>
      <c r="D419" s="20" t="s">
        <v>2430</v>
      </c>
      <c r="E419" s="34" t="s">
        <v>691</v>
      </c>
      <c r="F419" s="34">
        <v>65</v>
      </c>
      <c r="G419" s="34">
        <v>569</v>
      </c>
      <c r="H419" s="20"/>
      <c r="I419" s="20"/>
      <c r="J419" s="34" t="s">
        <v>694</v>
      </c>
      <c r="K419" s="34">
        <v>0</v>
      </c>
      <c r="L419" s="34">
        <v>0</v>
      </c>
      <c r="M419" s="20"/>
      <c r="N419" s="102" t="s">
        <v>1401</v>
      </c>
      <c r="O419" s="20"/>
      <c r="P419" s="20" t="s">
        <v>843</v>
      </c>
      <c r="Q419" s="20" t="s">
        <v>845</v>
      </c>
      <c r="R419" s="20"/>
      <c r="S419" s="34">
        <v>483</v>
      </c>
    </row>
    <row r="420" spans="1:19" ht="16.5" x14ac:dyDescent="0.35">
      <c r="A420" s="104" t="str">
        <f>HYPERLINK("https://www.examplebusiness.com/resource-center/retirement/social-security-the-64000-dollar-question","https://www.examplebusiness.com/resource-center/retirement/social-security-the-64000-dollar-question")</f>
        <v>https://www.examplebusiness.com/resource-center/retirement/social-security-the-64000-dollar-question</v>
      </c>
      <c r="B420" s="34">
        <v>200</v>
      </c>
      <c r="C420" s="34"/>
      <c r="D420" s="20" t="s">
        <v>2431</v>
      </c>
      <c r="E420" s="34" t="s">
        <v>691</v>
      </c>
      <c r="F420" s="34">
        <v>53</v>
      </c>
      <c r="G420" s="34">
        <v>470</v>
      </c>
      <c r="H420" s="20"/>
      <c r="I420" s="20"/>
      <c r="J420" s="34" t="s">
        <v>694</v>
      </c>
      <c r="K420" s="34">
        <v>0</v>
      </c>
      <c r="L420" s="34">
        <v>0</v>
      </c>
      <c r="M420" s="20"/>
      <c r="N420" s="102" t="s">
        <v>1402</v>
      </c>
      <c r="O420" s="20"/>
      <c r="P420" s="20" t="s">
        <v>843</v>
      </c>
      <c r="Q420" s="20" t="s">
        <v>845</v>
      </c>
      <c r="R420" s="20"/>
      <c r="S420" s="34">
        <v>717</v>
      </c>
    </row>
    <row r="421" spans="1:19" ht="16.5" x14ac:dyDescent="0.35">
      <c r="A421" s="104" t="str">
        <f>HYPERLINK("https://www.examplebusiness.com/resource-center/retirement/social-security-the-elephant-in-the-room","https://www.examplebusiness.com/resource-center/retirement/social-security-the-elephant-in-the-room")</f>
        <v>https://www.examplebusiness.com/resource-center/retirement/social-security-the-elephant-in-the-room</v>
      </c>
      <c r="B421" s="34">
        <v>200</v>
      </c>
      <c r="C421" s="34"/>
      <c r="D421" s="20" t="s">
        <v>2432</v>
      </c>
      <c r="E421" s="34" t="s">
        <v>691</v>
      </c>
      <c r="F421" s="34">
        <v>57</v>
      </c>
      <c r="G421" s="34">
        <v>501</v>
      </c>
      <c r="H421" s="20"/>
      <c r="I421" s="20"/>
      <c r="J421" s="34" t="s">
        <v>694</v>
      </c>
      <c r="K421" s="34">
        <v>0</v>
      </c>
      <c r="L421" s="34">
        <v>0</v>
      </c>
      <c r="M421" s="20"/>
      <c r="N421" s="102" t="s">
        <v>1403</v>
      </c>
      <c r="O421" s="20"/>
      <c r="P421" s="20" t="s">
        <v>1404</v>
      </c>
      <c r="Q421" s="20" t="s">
        <v>1405</v>
      </c>
      <c r="R421" s="20"/>
      <c r="S421" s="34">
        <v>849</v>
      </c>
    </row>
    <row r="422" spans="1:19" ht="16.5" x14ac:dyDescent="0.35">
      <c r="A422" s="104" t="str">
        <f>HYPERLINK("https://www.examplebusiness.com/resource-center/retirement/social-security-two-benefit-strategies-eliminated","https://www.examplebusiness.com/resource-center/retirement/social-security-two-benefit-strategies-eliminated")</f>
        <v>https://www.examplebusiness.com/resource-center/retirement/social-security-two-benefit-strategies-eliminated</v>
      </c>
      <c r="B422" s="34">
        <v>200</v>
      </c>
      <c r="C422" s="34"/>
      <c r="D422" s="20" t="s">
        <v>2433</v>
      </c>
      <c r="E422" s="34" t="s">
        <v>691</v>
      </c>
      <c r="F422" s="34">
        <v>66</v>
      </c>
      <c r="G422" s="34">
        <v>572</v>
      </c>
      <c r="H422" s="20"/>
      <c r="I422" s="20"/>
      <c r="J422" s="34" t="s">
        <v>694</v>
      </c>
      <c r="K422" s="34">
        <v>0</v>
      </c>
      <c r="L422" s="34">
        <v>0</v>
      </c>
      <c r="M422" s="20"/>
      <c r="N422" s="102" t="s">
        <v>1406</v>
      </c>
      <c r="O422" s="20"/>
      <c r="P422" s="20" t="s">
        <v>1407</v>
      </c>
      <c r="Q422" s="20" t="s">
        <v>1408</v>
      </c>
      <c r="R422" s="20"/>
      <c r="S422" s="34">
        <v>823</v>
      </c>
    </row>
    <row r="423" spans="1:19" ht="16.5" x14ac:dyDescent="0.35">
      <c r="A423" s="104" t="str">
        <f>HYPERLINK("https://www.examplebusiness.com/resource-center/retirement/split-annuity-strategy","https://www.examplebusiness.com/resource-center/retirement/split-annuity-strategy")</f>
        <v>https://www.examplebusiness.com/resource-center/retirement/split-annuity-strategy</v>
      </c>
      <c r="B423" s="34">
        <v>200</v>
      </c>
      <c r="C423" s="34"/>
      <c r="D423" s="20" t="s">
        <v>2434</v>
      </c>
      <c r="E423" s="34" t="s">
        <v>691</v>
      </c>
      <c r="F423" s="34">
        <v>38</v>
      </c>
      <c r="G423" s="34">
        <v>321</v>
      </c>
      <c r="H423" s="20"/>
      <c r="I423" s="20"/>
      <c r="J423" s="34" t="s">
        <v>694</v>
      </c>
      <c r="K423" s="34">
        <v>0</v>
      </c>
      <c r="L423" s="34">
        <v>0</v>
      </c>
      <c r="M423" s="20"/>
      <c r="N423" s="102" t="s">
        <v>1409</v>
      </c>
      <c r="O423" s="20"/>
      <c r="P423" s="20" t="s">
        <v>1410</v>
      </c>
      <c r="Q423" s="20" t="s">
        <v>1411</v>
      </c>
      <c r="R423" s="20"/>
      <c r="S423" s="34">
        <v>822</v>
      </c>
    </row>
    <row r="424" spans="1:19" ht="16.5" x14ac:dyDescent="0.35">
      <c r="A424" s="104" t="str">
        <f>HYPERLINK("https://www.examplebusiness.com/resource-center/retirement/systematic-withdrawals-in-retirement","https://www.examplebusiness.com/resource-center/retirement/systematic-withdrawals-in-retirement")</f>
        <v>https://www.examplebusiness.com/resource-center/retirement/systematic-withdrawals-in-retirement</v>
      </c>
      <c r="B424" s="34">
        <v>200</v>
      </c>
      <c r="C424" s="34"/>
      <c r="D424" s="20" t="s">
        <v>1412</v>
      </c>
      <c r="E424" s="34" t="s">
        <v>691</v>
      </c>
      <c r="F424" s="34">
        <v>55</v>
      </c>
      <c r="G424" s="34">
        <v>512</v>
      </c>
      <c r="H424" s="20"/>
      <c r="I424" s="20"/>
      <c r="J424" s="34" t="s">
        <v>694</v>
      </c>
      <c r="K424" s="34">
        <v>0</v>
      </c>
      <c r="L424" s="34">
        <v>0</v>
      </c>
      <c r="M424" s="20"/>
      <c r="N424" s="102" t="s">
        <v>1413</v>
      </c>
      <c r="O424" s="20"/>
      <c r="P424" s="20" t="s">
        <v>1095</v>
      </c>
      <c r="Q424" s="20" t="s">
        <v>843</v>
      </c>
      <c r="R424" s="20"/>
      <c r="S424" s="34">
        <v>699</v>
      </c>
    </row>
    <row r="425" spans="1:19" ht="16.5" x14ac:dyDescent="0.35">
      <c r="A425" s="104" t="str">
        <f>HYPERLINK("https://www.examplebusiness.com/resource-center/retirement/the-cost-of-procrastination","https://www.examplebusiness.com/resource-center/retirement/the-cost-of-procrastination")</f>
        <v>https://www.examplebusiness.com/resource-center/retirement/the-cost-of-procrastination</v>
      </c>
      <c r="B425" s="34">
        <v>200</v>
      </c>
      <c r="C425" s="34"/>
      <c r="D425" s="20" t="s">
        <v>2364</v>
      </c>
      <c r="E425" s="34" t="s">
        <v>691</v>
      </c>
      <c r="F425" s="34">
        <v>43</v>
      </c>
      <c r="G425" s="34">
        <v>373</v>
      </c>
      <c r="H425" s="20"/>
      <c r="I425" s="20"/>
      <c r="J425" s="34" t="s">
        <v>694</v>
      </c>
      <c r="K425" s="34">
        <v>0</v>
      </c>
      <c r="L425" s="34">
        <v>0</v>
      </c>
      <c r="M425" s="20"/>
      <c r="N425" s="102" t="s">
        <v>1280</v>
      </c>
      <c r="O425" s="20"/>
      <c r="P425" s="20" t="s">
        <v>1414</v>
      </c>
      <c r="Q425" s="20" t="s">
        <v>843</v>
      </c>
      <c r="R425" s="20"/>
      <c r="S425" s="34">
        <v>631</v>
      </c>
    </row>
    <row r="426" spans="1:19" ht="16.5" x14ac:dyDescent="0.35">
      <c r="A426" s="104" t="str">
        <f>HYPERLINK("https://www.examplebusiness.com/resource-center/retirement/the-long-run-women-and-retirement","https://www.examplebusiness.com/resource-center/retirement/the-long-run-women-and-retirement")</f>
        <v>https://www.examplebusiness.com/resource-center/retirement/the-long-run-women-and-retirement</v>
      </c>
      <c r="B426" s="34">
        <v>200</v>
      </c>
      <c r="C426" s="34"/>
      <c r="D426" s="20" t="s">
        <v>2435</v>
      </c>
      <c r="E426" s="34" t="s">
        <v>691</v>
      </c>
      <c r="F426" s="34">
        <v>50</v>
      </c>
      <c r="G426" s="34">
        <v>474</v>
      </c>
      <c r="H426" s="20"/>
      <c r="I426" s="20"/>
      <c r="J426" s="34" t="s">
        <v>694</v>
      </c>
      <c r="K426" s="34">
        <v>0</v>
      </c>
      <c r="L426" s="34">
        <v>0</v>
      </c>
      <c r="M426" s="20"/>
      <c r="N426" s="102" t="s">
        <v>1415</v>
      </c>
      <c r="O426" s="20"/>
      <c r="P426" s="20" t="s">
        <v>843</v>
      </c>
      <c r="Q426" s="20" t="s">
        <v>845</v>
      </c>
      <c r="R426" s="20"/>
      <c r="S426" s="34">
        <v>99</v>
      </c>
    </row>
    <row r="427" spans="1:19" ht="16.5" x14ac:dyDescent="0.35">
      <c r="A427" s="104" t="str">
        <f>HYPERLINK("https://www.examplebusiness.com/resource-center/retirement/the-power-of-tax-deferred-growth","https://www.examplebusiness.com/resource-center/retirement/the-power-of-tax-deferred-growth")</f>
        <v>https://www.examplebusiness.com/resource-center/retirement/the-power-of-tax-deferred-growth</v>
      </c>
      <c r="B427" s="34">
        <v>200</v>
      </c>
      <c r="C427" s="34"/>
      <c r="D427" s="20" t="s">
        <v>2436</v>
      </c>
      <c r="E427" s="34" t="s">
        <v>691</v>
      </c>
      <c r="F427" s="34">
        <v>48</v>
      </c>
      <c r="G427" s="34">
        <v>446</v>
      </c>
      <c r="H427" s="20"/>
      <c r="I427" s="20"/>
      <c r="J427" s="34" t="s">
        <v>694</v>
      </c>
      <c r="K427" s="34">
        <v>0</v>
      </c>
      <c r="L427" s="34">
        <v>0</v>
      </c>
      <c r="M427" s="20"/>
      <c r="N427" s="102" t="s">
        <v>1416</v>
      </c>
      <c r="O427" s="20"/>
      <c r="P427" s="20" t="s">
        <v>843</v>
      </c>
      <c r="Q427" s="20" t="s">
        <v>845</v>
      </c>
      <c r="R427" s="20"/>
      <c r="S427" s="34">
        <v>100</v>
      </c>
    </row>
    <row r="428" spans="1:19" ht="16.5" x14ac:dyDescent="0.35">
      <c r="A428" s="104" t="str">
        <f>HYPERLINK("https://www.examplebusiness.com/resource-center/retirement/the-pre-retirement-checklist","https://www.examplebusiness.com/resource-center/retirement/the-pre-retirement-checklist")</f>
        <v>https://www.examplebusiness.com/resource-center/retirement/the-pre-retirement-checklist</v>
      </c>
      <c r="B428" s="34">
        <v>200</v>
      </c>
      <c r="C428" s="34"/>
      <c r="D428" s="20" t="s">
        <v>2437</v>
      </c>
      <c r="E428" s="34" t="s">
        <v>691</v>
      </c>
      <c r="F428" s="34">
        <v>44</v>
      </c>
      <c r="G428" s="34">
        <v>391</v>
      </c>
      <c r="H428" s="20"/>
      <c r="I428" s="20"/>
      <c r="J428" s="34" t="s">
        <v>694</v>
      </c>
      <c r="K428" s="34">
        <v>0</v>
      </c>
      <c r="L428" s="34">
        <v>0</v>
      </c>
      <c r="M428" s="20"/>
      <c r="N428" s="102" t="s">
        <v>1417</v>
      </c>
      <c r="O428" s="20" t="s">
        <v>1418</v>
      </c>
      <c r="P428" s="20" t="s">
        <v>1419</v>
      </c>
      <c r="Q428" s="20" t="s">
        <v>1420</v>
      </c>
      <c r="R428" s="20"/>
      <c r="S428" s="34">
        <v>490</v>
      </c>
    </row>
    <row r="429" spans="1:19" ht="16.5" x14ac:dyDescent="0.35">
      <c r="A429" s="104" t="str">
        <f>HYPERLINK("https://www.examplebusiness.com/resource-center/retirement/the-secure-act","https://www.examplebusiness.com/resource-center/retirement/the-secure-act")</f>
        <v>https://www.examplebusiness.com/resource-center/retirement/the-secure-act</v>
      </c>
      <c r="B429" s="34">
        <v>200</v>
      </c>
      <c r="C429" s="34"/>
      <c r="D429" s="20" t="s">
        <v>2438</v>
      </c>
      <c r="E429" s="34" t="s">
        <v>691</v>
      </c>
      <c r="F429" s="34">
        <v>30</v>
      </c>
      <c r="G429" s="34">
        <v>287</v>
      </c>
      <c r="H429" s="20"/>
      <c r="I429" s="20"/>
      <c r="J429" s="34" t="s">
        <v>694</v>
      </c>
      <c r="K429" s="34">
        <v>0</v>
      </c>
      <c r="L429" s="34">
        <v>0</v>
      </c>
      <c r="M429" s="20"/>
      <c r="N429" s="102" t="s">
        <v>1421</v>
      </c>
      <c r="O429" s="20"/>
      <c r="P429" s="20" t="s">
        <v>843</v>
      </c>
      <c r="Q429" s="20" t="s">
        <v>845</v>
      </c>
      <c r="R429" s="20"/>
      <c r="S429" s="34">
        <v>860</v>
      </c>
    </row>
    <row r="430" spans="1:19" ht="16.5" x14ac:dyDescent="0.35">
      <c r="A430" s="104" t="str">
        <f>HYPERLINK("https://www.examplebusiness.com/resource-center/retirement/thinking-of-retiring-abroad","https://www.examplebusiness.com/resource-center/retirement/thinking-of-retiring-abroad")</f>
        <v>https://www.examplebusiness.com/resource-center/retirement/thinking-of-retiring-abroad</v>
      </c>
      <c r="B430" s="34">
        <v>200</v>
      </c>
      <c r="C430" s="34"/>
      <c r="D430" s="20" t="s">
        <v>2439</v>
      </c>
      <c r="E430" s="34" t="s">
        <v>691</v>
      </c>
      <c r="F430" s="34">
        <v>44</v>
      </c>
      <c r="G430" s="34">
        <v>381</v>
      </c>
      <c r="H430" s="20"/>
      <c r="I430" s="20"/>
      <c r="J430" s="34" t="s">
        <v>694</v>
      </c>
      <c r="K430" s="34">
        <v>0</v>
      </c>
      <c r="L430" s="34">
        <v>0</v>
      </c>
      <c r="M430" s="20"/>
      <c r="N430" s="102" t="s">
        <v>1422</v>
      </c>
      <c r="O430" s="20"/>
      <c r="P430" s="20" t="s">
        <v>1423</v>
      </c>
      <c r="Q430" s="20" t="s">
        <v>843</v>
      </c>
      <c r="R430" s="20"/>
      <c r="S430" s="34">
        <v>639</v>
      </c>
    </row>
    <row r="431" spans="1:19" ht="16.5" x14ac:dyDescent="0.35">
      <c r="A431" s="104" t="str">
        <f>HYPERLINK("https://www.examplebusiness.com/resource-center/retirement/three-key-questions-to-answer-before-taking-social-security","https://www.examplebusiness.com/resource-center/retirement/three-key-questions-to-answer-before-taking-social-security")</f>
        <v>https://www.examplebusiness.com/resource-center/retirement/three-key-questions-to-answer-before-taking-social-security</v>
      </c>
      <c r="B431" s="34">
        <v>200</v>
      </c>
      <c r="C431" s="34"/>
      <c r="D431" s="20" t="s">
        <v>2440</v>
      </c>
      <c r="E431" s="34" t="s">
        <v>691</v>
      </c>
      <c r="F431" s="34">
        <v>75</v>
      </c>
      <c r="G431" s="34">
        <v>678</v>
      </c>
      <c r="H431" s="20"/>
      <c r="I431" s="20"/>
      <c r="J431" s="34" t="s">
        <v>694</v>
      </c>
      <c r="K431" s="34">
        <v>0</v>
      </c>
      <c r="L431" s="34">
        <v>0</v>
      </c>
      <c r="M431" s="20"/>
      <c r="N431" s="102" t="s">
        <v>1424</v>
      </c>
      <c r="O431" s="20"/>
      <c r="P431" s="20" t="s">
        <v>843</v>
      </c>
      <c r="Q431" s="20" t="s">
        <v>845</v>
      </c>
      <c r="R431" s="20"/>
      <c r="S431" s="34">
        <v>529</v>
      </c>
    </row>
    <row r="432" spans="1:19" ht="16.5" x14ac:dyDescent="0.35">
      <c r="A432" s="104" t="str">
        <f>HYPERLINK("https://www.examplebusiness.com/resource-center/retirement/traditional-vs-roth-ira","https://www.examplebusiness.com/resource-center/retirement/traditional-vs-roth-ira")</f>
        <v>https://www.examplebusiness.com/resource-center/retirement/traditional-vs-roth-ira</v>
      </c>
      <c r="B432" s="34">
        <v>200</v>
      </c>
      <c r="C432" s="34"/>
      <c r="D432" s="20" t="s">
        <v>2441</v>
      </c>
      <c r="E432" s="34" t="s">
        <v>691</v>
      </c>
      <c r="F432" s="34">
        <v>40</v>
      </c>
      <c r="G432" s="34">
        <v>341</v>
      </c>
      <c r="H432" s="20"/>
      <c r="I432" s="20"/>
      <c r="J432" s="34" t="s">
        <v>694</v>
      </c>
      <c r="K432" s="34">
        <v>0</v>
      </c>
      <c r="L432" s="34">
        <v>0</v>
      </c>
      <c r="M432" s="20"/>
      <c r="N432" s="102" t="s">
        <v>1425</v>
      </c>
      <c r="O432" s="20"/>
      <c r="P432" s="20" t="s">
        <v>1426</v>
      </c>
      <c r="Q432" s="20" t="s">
        <v>843</v>
      </c>
      <c r="R432" s="20"/>
      <c r="S432" s="34">
        <v>939</v>
      </c>
    </row>
    <row r="433" spans="1:19" ht="16.5" x14ac:dyDescent="0.35">
      <c r="A433" s="104" t="str">
        <f>HYPERLINK("https://www.examplebusiness.com/resource-center/retirement/understanding-the-secure-act","https://www.examplebusiness.com/resource-center/retirement/understanding-the-secure-act")</f>
        <v>https://www.examplebusiness.com/resource-center/retirement/understanding-the-secure-act</v>
      </c>
      <c r="B433" s="34">
        <v>200</v>
      </c>
      <c r="C433" s="34"/>
      <c r="D433" s="20" t="s">
        <v>2442</v>
      </c>
      <c r="E433" s="34" t="s">
        <v>691</v>
      </c>
      <c r="F433" s="34">
        <v>44</v>
      </c>
      <c r="G433" s="34">
        <v>412</v>
      </c>
      <c r="H433" s="20"/>
      <c r="I433" s="20"/>
      <c r="J433" s="34" t="s">
        <v>694</v>
      </c>
      <c r="K433" s="34">
        <v>0</v>
      </c>
      <c r="L433" s="34">
        <v>0</v>
      </c>
      <c r="M433" s="20"/>
      <c r="N433" s="102" t="s">
        <v>1427</v>
      </c>
      <c r="O433" s="20"/>
      <c r="P433" s="20" t="s">
        <v>843</v>
      </c>
      <c r="Q433" s="20" t="s">
        <v>845</v>
      </c>
      <c r="R433" s="20"/>
      <c r="S433" s="34">
        <v>102</v>
      </c>
    </row>
    <row r="434" spans="1:19" ht="16.5" x14ac:dyDescent="0.35">
      <c r="A434" s="104" t="str">
        <f>HYPERLINK("https://www.examplebusiness.com/resource-center/retirement/volunteering-in-retirement","https://www.examplebusiness.com/resource-center/retirement/volunteering-in-retirement")</f>
        <v>https://www.examplebusiness.com/resource-center/retirement/volunteering-in-retirement</v>
      </c>
      <c r="B434" s="34">
        <v>200</v>
      </c>
      <c r="C434" s="34"/>
      <c r="D434" s="20" t="s">
        <v>2443</v>
      </c>
      <c r="E434" s="34" t="s">
        <v>691</v>
      </c>
      <c r="F434" s="34">
        <v>42</v>
      </c>
      <c r="G434" s="34">
        <v>363</v>
      </c>
      <c r="H434" s="20"/>
      <c r="I434" s="20"/>
      <c r="J434" s="34" t="s">
        <v>694</v>
      </c>
      <c r="K434" s="34">
        <v>0</v>
      </c>
      <c r="L434" s="34">
        <v>0</v>
      </c>
      <c r="M434" s="20"/>
      <c r="N434" s="102" t="s">
        <v>1428</v>
      </c>
      <c r="O434" s="20"/>
      <c r="P434" s="20" t="s">
        <v>1429</v>
      </c>
      <c r="Q434" s="20" t="s">
        <v>1430</v>
      </c>
      <c r="R434" s="20"/>
      <c r="S434" s="34">
        <v>526</v>
      </c>
    </row>
    <row r="435" spans="1:19" ht="16.5" x14ac:dyDescent="0.35">
      <c r="A435" s="104" t="str">
        <f>HYPERLINK("https://www.examplebusiness.com/resource-center/retirement/what-is-a-roth-401k","https://www.examplebusiness.com/resource-center/retirement/what-is-a-roth-401k")</f>
        <v>https://www.examplebusiness.com/resource-center/retirement/what-is-a-roth-401k</v>
      </c>
      <c r="B435" s="34">
        <v>200</v>
      </c>
      <c r="C435" s="34"/>
      <c r="D435" s="20" t="s">
        <v>2444</v>
      </c>
      <c r="E435" s="34" t="s">
        <v>691</v>
      </c>
      <c r="F435" s="34">
        <v>38</v>
      </c>
      <c r="G435" s="34">
        <v>339</v>
      </c>
      <c r="H435" s="20"/>
      <c r="I435" s="20"/>
      <c r="J435" s="34" t="s">
        <v>694</v>
      </c>
      <c r="K435" s="34">
        <v>0</v>
      </c>
      <c r="L435" s="34">
        <v>0</v>
      </c>
      <c r="M435" s="20"/>
      <c r="N435" s="102" t="s">
        <v>1431</v>
      </c>
      <c r="O435" s="20"/>
      <c r="P435" s="20" t="s">
        <v>1432</v>
      </c>
      <c r="Q435" s="20" t="s">
        <v>1433</v>
      </c>
      <c r="R435" s="20"/>
      <c r="S435" s="34">
        <v>1084</v>
      </c>
    </row>
    <row r="436" spans="1:19" ht="16.5" x14ac:dyDescent="0.35">
      <c r="A436" s="104" t="str">
        <f>HYPERLINK("https://www.examplebusiness.com/resource-center/retirement/what-is-an-annuity","https://www.examplebusiness.com/resource-center/retirement/what-is-an-annuity")</f>
        <v>https://www.examplebusiness.com/resource-center/retirement/what-is-an-annuity</v>
      </c>
      <c r="B436" s="34">
        <v>200</v>
      </c>
      <c r="C436" s="34"/>
      <c r="D436" s="20" t="s">
        <v>2445</v>
      </c>
      <c r="E436" s="34" t="s">
        <v>691</v>
      </c>
      <c r="F436" s="34">
        <v>35</v>
      </c>
      <c r="G436" s="34">
        <v>308</v>
      </c>
      <c r="H436" s="20"/>
      <c r="I436" s="20"/>
      <c r="J436" s="34" t="s">
        <v>694</v>
      </c>
      <c r="K436" s="34">
        <v>0</v>
      </c>
      <c r="L436" s="34">
        <v>0</v>
      </c>
      <c r="M436" s="20"/>
      <c r="N436" s="102" t="s">
        <v>1434</v>
      </c>
      <c r="O436" s="20"/>
      <c r="P436" s="20" t="s">
        <v>1435</v>
      </c>
      <c r="Q436" s="20" t="s">
        <v>1351</v>
      </c>
      <c r="R436" s="20"/>
      <c r="S436" s="34">
        <v>895</v>
      </c>
    </row>
    <row r="437" spans="1:19" ht="16.5" x14ac:dyDescent="0.35">
      <c r="A437" s="104" t="str">
        <f>HYPERLINK("https://www.examplebusiness.com/resource-center/retirement/whats-new-for-social-security","https://www.examplebusiness.com/resource-center/retirement/whats-new-for-social-security")</f>
        <v>https://www.examplebusiness.com/resource-center/retirement/whats-new-for-social-security</v>
      </c>
      <c r="B437" s="34">
        <v>200</v>
      </c>
      <c r="C437" s="34"/>
      <c r="D437" s="20" t="s">
        <v>2446</v>
      </c>
      <c r="E437" s="34" t="s">
        <v>691</v>
      </c>
      <c r="F437" s="34">
        <v>47</v>
      </c>
      <c r="G437" s="34">
        <v>415</v>
      </c>
      <c r="H437" s="20"/>
      <c r="I437" s="20"/>
      <c r="J437" s="34" t="s">
        <v>694</v>
      </c>
      <c r="K437" s="34">
        <v>0</v>
      </c>
      <c r="L437" s="34">
        <v>0</v>
      </c>
      <c r="M437" s="20"/>
      <c r="N437" s="102" t="s">
        <v>1436</v>
      </c>
      <c r="O437" s="20"/>
      <c r="P437" s="20" t="s">
        <v>1437</v>
      </c>
      <c r="Q437" s="20" t="s">
        <v>1438</v>
      </c>
      <c r="R437" s="20"/>
      <c r="S437" s="34">
        <v>534</v>
      </c>
    </row>
    <row r="438" spans="1:19" ht="16.5" x14ac:dyDescent="0.35">
      <c r="A438" s="104" t="str">
        <f>HYPERLINK("https://www.examplebusiness.com/resource-center/retirement/where-will-your-retirement-money-come-from","https://www.examplebusiness.com/resource-center/retirement/where-will-your-retirement-money-come-from")</f>
        <v>https://www.examplebusiness.com/resource-center/retirement/where-will-your-retirement-money-come-from</v>
      </c>
      <c r="B438" s="34">
        <v>200</v>
      </c>
      <c r="C438" s="34"/>
      <c r="D438" s="20" t="s">
        <v>2447</v>
      </c>
      <c r="E438" s="34" t="s">
        <v>691</v>
      </c>
      <c r="F438" s="34">
        <v>59</v>
      </c>
      <c r="G438" s="34">
        <v>564</v>
      </c>
      <c r="H438" s="20"/>
      <c r="I438" s="20"/>
      <c r="J438" s="34" t="s">
        <v>694</v>
      </c>
      <c r="K438" s="34">
        <v>0</v>
      </c>
      <c r="L438" s="34">
        <v>0</v>
      </c>
      <c r="M438" s="20"/>
      <c r="N438" s="102" t="s">
        <v>1439</v>
      </c>
      <c r="O438" s="20"/>
      <c r="P438" s="20" t="s">
        <v>1440</v>
      </c>
      <c r="Q438" s="20" t="s">
        <v>1441</v>
      </c>
      <c r="R438" s="20"/>
      <c r="S438" s="34">
        <v>728</v>
      </c>
    </row>
    <row r="439" spans="1:19" ht="16.5" x14ac:dyDescent="0.35">
      <c r="A439" s="104" t="str">
        <f>HYPERLINK("https://www.examplebusiness.com/resource-center/retirement/why-medicare-should-be-part-of-your-retirement-strategy","https://www.examplebusiness.com/resource-center/retirement/why-medicare-should-be-part-of-your-retirement-strategy")</f>
        <v>https://www.examplebusiness.com/resource-center/retirement/why-medicare-should-be-part-of-your-retirement-strategy</v>
      </c>
      <c r="B439" s="34">
        <v>200</v>
      </c>
      <c r="C439" s="34"/>
      <c r="D439" s="20" t="s">
        <v>2448</v>
      </c>
      <c r="E439" s="34" t="s">
        <v>691</v>
      </c>
      <c r="F439" s="34">
        <v>71</v>
      </c>
      <c r="G439" s="34">
        <v>652</v>
      </c>
      <c r="H439" s="20"/>
      <c r="I439" s="20"/>
      <c r="J439" s="34" t="s">
        <v>694</v>
      </c>
      <c r="K439" s="34">
        <v>0</v>
      </c>
      <c r="L439" s="34">
        <v>0</v>
      </c>
      <c r="M439" s="20"/>
      <c r="N439" s="102" t="s">
        <v>1442</v>
      </c>
      <c r="O439" s="20"/>
      <c r="P439" s="20" t="s">
        <v>843</v>
      </c>
      <c r="Q439" s="20" t="s">
        <v>845</v>
      </c>
      <c r="R439" s="20"/>
      <c r="S439" s="34">
        <v>633</v>
      </c>
    </row>
    <row r="440" spans="1:19" ht="16.5" x14ac:dyDescent="0.35">
      <c r="A440" s="104" t="str">
        <f>HYPERLINK("https://www.examplebusiness.com/resource-center/retirement/women-and-Example-strategies","https://www.examplebusiness.com/resource-center/retirement/women-and-Example-strategies")</f>
        <v>https://www.examplebusiness.com/resource-center/retirement/women-and-Example-strategies</v>
      </c>
      <c r="B440" s="34">
        <v>200</v>
      </c>
      <c r="C440" s="34"/>
      <c r="D440" s="20" t="s">
        <v>2527</v>
      </c>
      <c r="E440" s="34" t="s">
        <v>691</v>
      </c>
      <c r="F440" s="34">
        <v>46</v>
      </c>
      <c r="G440" s="34">
        <v>416</v>
      </c>
      <c r="H440" s="20"/>
      <c r="I440" s="20"/>
      <c r="J440" s="34" t="s">
        <v>694</v>
      </c>
      <c r="K440" s="34">
        <v>0</v>
      </c>
      <c r="L440" s="34">
        <v>0</v>
      </c>
      <c r="M440" s="20"/>
      <c r="N440" s="102" t="s">
        <v>2528</v>
      </c>
      <c r="O440" s="20"/>
      <c r="P440" s="20" t="s">
        <v>1443</v>
      </c>
      <c r="Q440" s="20" t="s">
        <v>1444</v>
      </c>
      <c r="R440" s="20"/>
      <c r="S440" s="34">
        <v>669</v>
      </c>
    </row>
    <row r="441" spans="1:19" ht="16.5" x14ac:dyDescent="0.35">
      <c r="A441" s="104" t="str">
        <f>HYPERLINK("https://www.examplebusiness.com/resource-center/retirement/women-on-the-rise","https://www.examplebusiness.com/resource-center/retirement/women-on-the-rise")</f>
        <v>https://www.examplebusiness.com/resource-center/retirement/women-on-the-rise</v>
      </c>
      <c r="B441" s="34">
        <v>200</v>
      </c>
      <c r="C441" s="34"/>
      <c r="D441" s="20" t="s">
        <v>2449</v>
      </c>
      <c r="E441" s="34" t="s">
        <v>691</v>
      </c>
      <c r="F441" s="34">
        <v>33</v>
      </c>
      <c r="G441" s="34">
        <v>305</v>
      </c>
      <c r="H441" s="20"/>
      <c r="I441" s="20"/>
      <c r="J441" s="34" t="s">
        <v>694</v>
      </c>
      <c r="K441" s="34">
        <v>0</v>
      </c>
      <c r="L441" s="34">
        <v>0</v>
      </c>
      <c r="M441" s="20"/>
      <c r="N441" s="102" t="s">
        <v>1445</v>
      </c>
      <c r="O441" s="20"/>
      <c r="P441" s="20" t="s">
        <v>843</v>
      </c>
      <c r="Q441" s="20" t="s">
        <v>845</v>
      </c>
      <c r="R441" s="20"/>
      <c r="S441" s="34">
        <v>94</v>
      </c>
    </row>
    <row r="442" spans="1:19" ht="16.5" x14ac:dyDescent="0.35">
      <c r="A442" s="104" t="str">
        <f>HYPERLINK("https://www.examplebusiness.com/resource-center/retirement/your-changing-definition-of-risk-in-retirement","https://www.examplebusiness.com/resource-center/retirement/your-changing-definition-of-risk-in-retirement")</f>
        <v>https://www.examplebusiness.com/resource-center/retirement/your-changing-definition-of-risk-in-retirement</v>
      </c>
      <c r="B442" s="34">
        <v>200</v>
      </c>
      <c r="C442" s="34"/>
      <c r="D442" s="20" t="s">
        <v>2450</v>
      </c>
      <c r="E442" s="34" t="s">
        <v>691</v>
      </c>
      <c r="F442" s="34">
        <v>62</v>
      </c>
      <c r="G442" s="34">
        <v>537</v>
      </c>
      <c r="H442" s="20"/>
      <c r="I442" s="20"/>
      <c r="J442" s="34" t="s">
        <v>694</v>
      </c>
      <c r="K442" s="34">
        <v>0</v>
      </c>
      <c r="L442" s="34">
        <v>0</v>
      </c>
      <c r="M442" s="20"/>
      <c r="N442" s="102" t="s">
        <v>1446</v>
      </c>
      <c r="O442" s="20"/>
      <c r="P442" s="20" t="s">
        <v>1447</v>
      </c>
      <c r="Q442" s="20" t="s">
        <v>1448</v>
      </c>
      <c r="R442" s="20"/>
      <c r="S442" s="34">
        <v>678</v>
      </c>
    </row>
    <row r="443" spans="1:19" ht="16.5" x14ac:dyDescent="0.35">
      <c r="A443" s="104" t="str">
        <f>HYPERLINK("https://www.examplebusiness.com/resource-center/tax","https://www.examplebusiness.com/resource-center/tax")</f>
        <v>https://www.examplebusiness.com/resource-center/tax</v>
      </c>
      <c r="B443" s="34">
        <v>200</v>
      </c>
      <c r="C443" s="34"/>
      <c r="D443" s="20" t="s">
        <v>2451</v>
      </c>
      <c r="E443" s="34" t="s">
        <v>691</v>
      </c>
      <c r="F443" s="34">
        <v>19</v>
      </c>
      <c r="G443" s="34">
        <v>165</v>
      </c>
      <c r="H443" s="20"/>
      <c r="I443" s="20"/>
      <c r="J443" s="34" t="s">
        <v>694</v>
      </c>
      <c r="K443" s="34">
        <v>0</v>
      </c>
      <c r="L443" s="34">
        <v>0</v>
      </c>
      <c r="M443" s="20"/>
      <c r="N443" s="102" t="s">
        <v>1449</v>
      </c>
      <c r="O443" s="20"/>
      <c r="P443" s="20" t="s">
        <v>1450</v>
      </c>
      <c r="Q443" s="20" t="s">
        <v>843</v>
      </c>
      <c r="R443" s="20"/>
      <c r="S443" s="34">
        <v>706</v>
      </c>
    </row>
    <row r="444" spans="1:19" ht="16.5" x14ac:dyDescent="0.35">
      <c r="A444" s="104" t="str">
        <f>HYPERLINK("https://www.examplebusiness.com/resource-center/tax/capital-gains-tax-estimator","https://www.examplebusiness.com/resource-center/tax/capital-gains-tax-estimator")</f>
        <v>https://www.examplebusiness.com/resource-center/tax/capital-gains-tax-estimator</v>
      </c>
      <c r="B444" s="34">
        <v>200</v>
      </c>
      <c r="C444" s="34"/>
      <c r="D444" s="20" t="s">
        <v>2452</v>
      </c>
      <c r="E444" s="34" t="s">
        <v>691</v>
      </c>
      <c r="F444" s="34">
        <v>43</v>
      </c>
      <c r="G444" s="34">
        <v>379</v>
      </c>
      <c r="H444" s="20"/>
      <c r="I444" s="20"/>
      <c r="J444" s="34" t="s">
        <v>694</v>
      </c>
      <c r="K444" s="34">
        <v>0</v>
      </c>
      <c r="L444" s="34">
        <v>0</v>
      </c>
      <c r="M444" s="20"/>
      <c r="N444" s="102" t="s">
        <v>1451</v>
      </c>
      <c r="O444" s="20"/>
      <c r="P444" s="20" t="s">
        <v>843</v>
      </c>
      <c r="Q444" s="20" t="s">
        <v>845</v>
      </c>
      <c r="R444" s="20"/>
      <c r="S444" s="34">
        <v>120</v>
      </c>
    </row>
    <row r="445" spans="1:19" ht="16.5" x14ac:dyDescent="0.35">
      <c r="A445" s="104" t="str">
        <f>HYPERLINK("https://www.examplebusiness.com/resource-center/tax/comparing-investments","https://www.examplebusiness.com/resource-center/tax/comparing-investments")</f>
        <v>https://www.examplebusiness.com/resource-center/tax/comparing-investments</v>
      </c>
      <c r="B445" s="34">
        <v>200</v>
      </c>
      <c r="C445" s="34"/>
      <c r="D445" s="20" t="s">
        <v>2453</v>
      </c>
      <c r="E445" s="34" t="s">
        <v>691</v>
      </c>
      <c r="F445" s="34">
        <v>37</v>
      </c>
      <c r="G445" s="34">
        <v>339</v>
      </c>
      <c r="H445" s="20"/>
      <c r="I445" s="20"/>
      <c r="J445" s="34" t="s">
        <v>694</v>
      </c>
      <c r="K445" s="34">
        <v>0</v>
      </c>
      <c r="L445" s="34">
        <v>0</v>
      </c>
      <c r="M445" s="20"/>
      <c r="N445" s="102" t="s">
        <v>1452</v>
      </c>
      <c r="O445" s="20"/>
      <c r="P445" s="20" t="s">
        <v>843</v>
      </c>
      <c r="Q445" s="20" t="s">
        <v>845</v>
      </c>
      <c r="R445" s="20"/>
      <c r="S445" s="34">
        <v>115</v>
      </c>
    </row>
    <row r="446" spans="1:19" ht="16.5" x14ac:dyDescent="0.35">
      <c r="A446" s="104" t="str">
        <f>HYPERLINK("https://www.examplebusiness.com/resource-center/tax/death-is-noexcuse","https://www.examplebusiness.com/resource-center/tax/death-is-noexcuse")</f>
        <v>https://www.examplebusiness.com/resource-center/tax/death-is-noexcuse</v>
      </c>
      <c r="B446" s="34">
        <v>200</v>
      </c>
      <c r="C446" s="34"/>
      <c r="D446" s="20" t="s">
        <v>2454</v>
      </c>
      <c r="E446" s="34" t="s">
        <v>691</v>
      </c>
      <c r="F446" s="34">
        <v>57</v>
      </c>
      <c r="G446" s="34">
        <v>495</v>
      </c>
      <c r="H446" s="20"/>
      <c r="I446" s="20"/>
      <c r="J446" s="34" t="s">
        <v>694</v>
      </c>
      <c r="K446" s="34">
        <v>0</v>
      </c>
      <c r="L446" s="34">
        <v>0</v>
      </c>
      <c r="M446" s="20"/>
      <c r="N446" s="102" t="s">
        <v>1453</v>
      </c>
      <c r="O446" s="20"/>
      <c r="P446" s="20" t="s">
        <v>1454</v>
      </c>
      <c r="Q446" s="20" t="s">
        <v>1455</v>
      </c>
      <c r="R446" s="20"/>
      <c r="S446" s="34">
        <v>777</v>
      </c>
    </row>
    <row r="447" spans="1:19" ht="16.5" x14ac:dyDescent="0.35">
      <c r="A447" s="104" t="str">
        <f>HYPERLINK("https://www.examplebusiness.com/resource-center/tax/dirty-dozen-tax-scams-to-watch-for","https://www.examplebusiness.com/resource-center/tax/dirty-dozen-tax-scams-to-watch-for")</f>
        <v>https://www.examplebusiness.com/resource-center/tax/dirty-dozen-tax-scams-to-watch-for</v>
      </c>
      <c r="B447" s="34">
        <v>200</v>
      </c>
      <c r="C447" s="34"/>
      <c r="D447" s="20" t="s">
        <v>2455</v>
      </c>
      <c r="E447" s="34" t="s">
        <v>691</v>
      </c>
      <c r="F447" s="34">
        <v>52</v>
      </c>
      <c r="G447" s="34">
        <v>474</v>
      </c>
      <c r="H447" s="20"/>
      <c r="I447" s="20"/>
      <c r="J447" s="34" t="s">
        <v>694</v>
      </c>
      <c r="K447" s="34">
        <v>0</v>
      </c>
      <c r="L447" s="34">
        <v>0</v>
      </c>
      <c r="M447" s="20"/>
      <c r="N447" s="102" t="s">
        <v>1456</v>
      </c>
      <c r="O447" s="20"/>
      <c r="P447" s="20" t="s">
        <v>1457</v>
      </c>
      <c r="Q447" s="20" t="s">
        <v>843</v>
      </c>
      <c r="R447" s="20"/>
      <c r="S447" s="34">
        <v>688</v>
      </c>
    </row>
    <row r="448" spans="1:19" ht="16.5" x14ac:dyDescent="0.35">
      <c r="A448" s="104" t="str">
        <f>HYPERLINK("https://www.examplebusiness.com/resource-center/tax/do-you-owe-the-amt","https://www.examplebusiness.com/resource-center/tax/do-you-owe-the-amt")</f>
        <v>https://www.examplebusiness.com/resource-center/tax/do-you-owe-the-amt</v>
      </c>
      <c r="B448" s="34">
        <v>200</v>
      </c>
      <c r="C448" s="34"/>
      <c r="D448" s="20" t="s">
        <v>2456</v>
      </c>
      <c r="E448" s="34" t="s">
        <v>691</v>
      </c>
      <c r="F448" s="34">
        <v>35</v>
      </c>
      <c r="G448" s="34">
        <v>345</v>
      </c>
      <c r="H448" s="20"/>
      <c r="I448" s="20"/>
      <c r="J448" s="34" t="s">
        <v>694</v>
      </c>
      <c r="K448" s="34">
        <v>0</v>
      </c>
      <c r="L448" s="34">
        <v>0</v>
      </c>
      <c r="M448" s="20"/>
      <c r="N448" s="102" t="s">
        <v>1458</v>
      </c>
      <c r="O448" s="20"/>
      <c r="P448" s="20" t="s">
        <v>1459</v>
      </c>
      <c r="Q448" s="20" t="s">
        <v>1460</v>
      </c>
      <c r="R448" s="20"/>
      <c r="S448" s="34">
        <v>645</v>
      </c>
    </row>
    <row r="449" spans="1:19" ht="16.5" x14ac:dyDescent="0.35">
      <c r="A449" s="104" t="str">
        <f>HYPERLINK("https://www.examplebusiness.com/resource-center/tax/does-your-child-need-to-file-a-tax-return","https://www.examplebusiness.com/resource-center/tax/does-your-child-need-to-file-a-tax-return")</f>
        <v>https://www.examplebusiness.com/resource-center/tax/does-your-child-need-to-file-a-tax-return</v>
      </c>
      <c r="B449" s="34">
        <v>200</v>
      </c>
      <c r="C449" s="34"/>
      <c r="D449" s="20" t="s">
        <v>2457</v>
      </c>
      <c r="E449" s="34" t="s">
        <v>691</v>
      </c>
      <c r="F449" s="34">
        <v>66</v>
      </c>
      <c r="G449" s="34">
        <v>598</v>
      </c>
      <c r="H449" s="20"/>
      <c r="I449" s="20"/>
      <c r="J449" s="34" t="s">
        <v>694</v>
      </c>
      <c r="K449" s="34">
        <v>0</v>
      </c>
      <c r="L449" s="34">
        <v>0</v>
      </c>
      <c r="M449" s="20"/>
      <c r="N449" s="102" t="s">
        <v>1461</v>
      </c>
      <c r="O449" s="20"/>
      <c r="P449" s="20" t="s">
        <v>843</v>
      </c>
      <c r="Q449" s="20" t="s">
        <v>845</v>
      </c>
      <c r="R449" s="20"/>
      <c r="S449" s="34">
        <v>512</v>
      </c>
    </row>
    <row r="450" spans="1:19" ht="16.5" x14ac:dyDescent="0.35">
      <c r="A450" s="104" t="str">
        <f>HYPERLINK("https://www.examplebusiness.com/resource-center/tax/donating-art-taxation-abstraction","https://www.examplebusiness.com/resource-center/tax/donating-art-taxation-abstraction")</f>
        <v>https://www.examplebusiness.com/resource-center/tax/donating-art-taxation-abstraction</v>
      </c>
      <c r="B450" s="34">
        <v>200</v>
      </c>
      <c r="C450" s="34"/>
      <c r="D450" s="20" t="s">
        <v>2458</v>
      </c>
      <c r="E450" s="34" t="s">
        <v>691</v>
      </c>
      <c r="F450" s="34">
        <v>50</v>
      </c>
      <c r="G450" s="34">
        <v>433</v>
      </c>
      <c r="H450" s="20"/>
      <c r="I450" s="20"/>
      <c r="J450" s="34" t="s">
        <v>694</v>
      </c>
      <c r="K450" s="34">
        <v>0</v>
      </c>
      <c r="L450" s="34">
        <v>0</v>
      </c>
      <c r="M450" s="20"/>
      <c r="N450" s="102" t="s">
        <v>1462</v>
      </c>
      <c r="O450" s="20"/>
      <c r="P450" s="20" t="s">
        <v>1463</v>
      </c>
      <c r="Q450" s="20" t="s">
        <v>1464</v>
      </c>
      <c r="R450" s="20"/>
      <c r="S450" s="34">
        <v>618</v>
      </c>
    </row>
    <row r="451" spans="1:19" ht="16.5" x14ac:dyDescent="0.35">
      <c r="A451" s="104" t="str">
        <f>HYPERLINK("https://www.examplebusiness.com/resource-center/tax/federal-income-tax","https://www.examplebusiness.com/resource-center/tax/federal-income-tax")</f>
        <v>https://www.examplebusiness.com/resource-center/tax/federal-income-tax</v>
      </c>
      <c r="B451" s="34">
        <v>200</v>
      </c>
      <c r="C451" s="34"/>
      <c r="D451" s="20" t="s">
        <v>2459</v>
      </c>
      <c r="E451" s="34" t="s">
        <v>691</v>
      </c>
      <c r="F451" s="34">
        <v>34</v>
      </c>
      <c r="G451" s="34">
        <v>308</v>
      </c>
      <c r="H451" s="20"/>
      <c r="I451" s="20"/>
      <c r="J451" s="34" t="s">
        <v>694</v>
      </c>
      <c r="K451" s="34">
        <v>0</v>
      </c>
      <c r="L451" s="34">
        <v>0</v>
      </c>
      <c r="M451" s="20"/>
      <c r="N451" s="102" t="s">
        <v>1465</v>
      </c>
      <c r="O451" s="20"/>
      <c r="P451" s="20" t="s">
        <v>843</v>
      </c>
      <c r="Q451" s="20" t="s">
        <v>845</v>
      </c>
      <c r="R451" s="20"/>
      <c r="S451" s="34">
        <v>130</v>
      </c>
    </row>
    <row r="452" spans="1:19" ht="16.5" x14ac:dyDescent="0.35">
      <c r="A452" s="104" t="str">
        <f>HYPERLINK("https://www.examplebusiness.com/resource-center/tax/five-most-overlooked-tax-deductions","https://www.examplebusiness.com/resource-center/tax/five-most-overlooked-tax-deductions")</f>
        <v>https://www.examplebusiness.com/resource-center/tax/five-most-overlooked-tax-deductions</v>
      </c>
      <c r="B452" s="34">
        <v>200</v>
      </c>
      <c r="C452" s="34"/>
      <c r="D452" s="20" t="s">
        <v>2460</v>
      </c>
      <c r="E452" s="34" t="s">
        <v>691</v>
      </c>
      <c r="F452" s="34">
        <v>51</v>
      </c>
      <c r="G452" s="34">
        <v>467</v>
      </c>
      <c r="H452" s="20"/>
      <c r="I452" s="20"/>
      <c r="J452" s="34" t="s">
        <v>694</v>
      </c>
      <c r="K452" s="34">
        <v>0</v>
      </c>
      <c r="L452" s="34">
        <v>0</v>
      </c>
      <c r="M452" s="20"/>
      <c r="N452" s="102" t="s">
        <v>1466</v>
      </c>
      <c r="O452" s="20"/>
      <c r="P452" s="20" t="s">
        <v>843</v>
      </c>
      <c r="Q452" s="20" t="s">
        <v>845</v>
      </c>
      <c r="R452" s="20"/>
      <c r="S452" s="34">
        <v>757</v>
      </c>
    </row>
    <row r="453" spans="1:19" ht="16.5" x14ac:dyDescent="0.35">
      <c r="A453" s="104" t="str">
        <f>HYPERLINK("https://www.examplebusiness.com/resource-center/tax/get-paid-for-going-green","https://www.examplebusiness.com/resource-center/tax/get-paid-for-going-green")</f>
        <v>https://www.examplebusiness.com/resource-center/tax/get-paid-for-going-green</v>
      </c>
      <c r="B453" s="34">
        <v>200</v>
      </c>
      <c r="C453" s="34"/>
      <c r="D453" s="20" t="s">
        <v>2461</v>
      </c>
      <c r="E453" s="34" t="s">
        <v>691</v>
      </c>
      <c r="F453" s="34">
        <v>40</v>
      </c>
      <c r="G453" s="34" t="s">
        <v>849</v>
      </c>
      <c r="H453" s="20"/>
      <c r="I453" s="20"/>
      <c r="J453" s="34" t="s">
        <v>694</v>
      </c>
      <c r="K453" s="34">
        <v>0</v>
      </c>
      <c r="L453" s="34">
        <v>0</v>
      </c>
      <c r="M453" s="20"/>
      <c r="N453" s="102" t="s">
        <v>1467</v>
      </c>
      <c r="O453" s="20"/>
      <c r="P453" s="20" t="s">
        <v>1468</v>
      </c>
      <c r="Q453" s="20" t="s">
        <v>1469</v>
      </c>
      <c r="R453" s="20"/>
      <c r="S453" s="34">
        <v>695</v>
      </c>
    </row>
    <row r="454" spans="1:19" ht="16.5" x14ac:dyDescent="0.35">
      <c r="A454" s="104" t="str">
        <f>HYPERLINK("https://www.examplebusiness.com/resource-center/tax/home-mortgage-deduction","https://www.examplebusiness.com/resource-center/tax/home-mortgage-deduction")</f>
        <v>https://www.examplebusiness.com/resource-center/tax/home-mortgage-deduction</v>
      </c>
      <c r="B454" s="34">
        <v>200</v>
      </c>
      <c r="C454" s="34"/>
      <c r="D454" s="20" t="s">
        <v>2462</v>
      </c>
      <c r="E454" s="34" t="s">
        <v>691</v>
      </c>
      <c r="F454" s="34">
        <v>39</v>
      </c>
      <c r="G454" s="34">
        <v>368</v>
      </c>
      <c r="H454" s="20"/>
      <c r="I454" s="20"/>
      <c r="J454" s="34" t="s">
        <v>694</v>
      </c>
      <c r="K454" s="34">
        <v>0</v>
      </c>
      <c r="L454" s="34">
        <v>0</v>
      </c>
      <c r="M454" s="20"/>
      <c r="N454" s="102" t="s">
        <v>1470</v>
      </c>
      <c r="O454" s="20"/>
      <c r="P454" s="20" t="s">
        <v>843</v>
      </c>
      <c r="Q454" s="20" t="s">
        <v>845</v>
      </c>
      <c r="R454" s="20"/>
      <c r="S454" s="34">
        <v>127</v>
      </c>
    </row>
    <row r="455" spans="1:19" ht="16.5" x14ac:dyDescent="0.35">
      <c r="A455" s="104" t="str">
        <f>HYPERLINK("https://www.examplebusiness.com/resource-center/tax/how-income-taxes-work","https://www.examplebusiness.com/resource-center/tax/how-income-taxes-work")</f>
        <v>https://www.examplebusiness.com/resource-center/tax/how-income-taxes-work</v>
      </c>
      <c r="B455" s="34">
        <v>200</v>
      </c>
      <c r="C455" s="34"/>
      <c r="D455" s="20" t="s">
        <v>2463</v>
      </c>
      <c r="E455" s="34" t="s">
        <v>691</v>
      </c>
      <c r="F455" s="34">
        <v>37</v>
      </c>
      <c r="G455" s="34">
        <v>354</v>
      </c>
      <c r="H455" s="20"/>
      <c r="I455" s="20"/>
      <c r="J455" s="34" t="s">
        <v>694</v>
      </c>
      <c r="K455" s="34">
        <v>0</v>
      </c>
      <c r="L455" s="34">
        <v>0</v>
      </c>
      <c r="M455" s="20"/>
      <c r="N455" s="102" t="s">
        <v>1471</v>
      </c>
      <c r="O455" s="20"/>
      <c r="P455" s="20" t="s">
        <v>1472</v>
      </c>
      <c r="Q455" s="20" t="s">
        <v>843</v>
      </c>
      <c r="R455" s="20"/>
      <c r="S455" s="34">
        <v>709</v>
      </c>
    </row>
    <row r="456" spans="1:19" ht="16.5" x14ac:dyDescent="0.35">
      <c r="A456" s="104" t="str">
        <f>HYPERLINK("https://www.examplebusiness.com/resource-center/tax/how-to-appeal-your-property-taxes","https://www.examplebusiness.com/resource-center/tax/how-to-appeal-your-property-taxes")</f>
        <v>https://www.examplebusiness.com/resource-center/tax/how-to-appeal-your-property-taxes</v>
      </c>
      <c r="B456" s="34">
        <v>200</v>
      </c>
      <c r="C456" s="34"/>
      <c r="D456" s="20" t="s">
        <v>2464</v>
      </c>
      <c r="E456" s="34" t="s">
        <v>691</v>
      </c>
      <c r="F456" s="34">
        <v>49</v>
      </c>
      <c r="G456" s="34">
        <v>451</v>
      </c>
      <c r="H456" s="20"/>
      <c r="I456" s="20"/>
      <c r="J456" s="34" t="s">
        <v>694</v>
      </c>
      <c r="K456" s="34">
        <v>0</v>
      </c>
      <c r="L456" s="34">
        <v>0</v>
      </c>
      <c r="M456" s="20"/>
      <c r="N456" s="102" t="s">
        <v>1473</v>
      </c>
      <c r="O456" s="20"/>
      <c r="P456" s="20" t="s">
        <v>1474</v>
      </c>
      <c r="Q456" s="20" t="s">
        <v>1475</v>
      </c>
      <c r="R456" s="20"/>
      <c r="S456" s="34">
        <v>594</v>
      </c>
    </row>
    <row r="457" spans="1:19" ht="16.5" x14ac:dyDescent="0.35">
      <c r="A457" s="104" t="str">
        <f>HYPERLINK("https://www.examplebusiness.com/resource-center/tax/how-to-make-the-tax-code-work-for-you","https://www.examplebusiness.com/resource-center/tax/how-to-make-the-tax-code-work-for-you")</f>
        <v>https://www.examplebusiness.com/resource-center/tax/how-to-make-the-tax-code-work-for-you</v>
      </c>
      <c r="B457" s="34">
        <v>200</v>
      </c>
      <c r="C457" s="34"/>
      <c r="D457" s="20" t="s">
        <v>2465</v>
      </c>
      <c r="E457" s="34" t="s">
        <v>691</v>
      </c>
      <c r="F457" s="34">
        <v>53</v>
      </c>
      <c r="G457" s="34">
        <v>498</v>
      </c>
      <c r="H457" s="20"/>
      <c r="I457" s="20"/>
      <c r="J457" s="34" t="s">
        <v>694</v>
      </c>
      <c r="K457" s="34">
        <v>0</v>
      </c>
      <c r="L457" s="34">
        <v>0</v>
      </c>
      <c r="M457" s="20"/>
      <c r="N457" s="102" t="s">
        <v>1476</v>
      </c>
      <c r="O457" s="20"/>
      <c r="P457" s="20" t="s">
        <v>1477</v>
      </c>
      <c r="Q457" s="20" t="s">
        <v>1478</v>
      </c>
      <c r="R457" s="20"/>
      <c r="S457" s="34">
        <v>827</v>
      </c>
    </row>
    <row r="458" spans="1:19" ht="16.5" x14ac:dyDescent="0.35">
      <c r="A458" s="104" t="str">
        <f>HYPERLINK("https://www.examplebusiness.com/resource-center/tax/red-flags-for-tax-auditors","https://www.examplebusiness.com/resource-center/tax/red-flags-for-tax-auditors")</f>
        <v>https://www.examplebusiness.com/resource-center/tax/red-flags-for-tax-auditors</v>
      </c>
      <c r="B458" s="34">
        <v>200</v>
      </c>
      <c r="C458" s="34"/>
      <c r="D458" s="20" t="s">
        <v>2466</v>
      </c>
      <c r="E458" s="34" t="s">
        <v>691</v>
      </c>
      <c r="F458" s="34">
        <v>42</v>
      </c>
      <c r="G458" s="34">
        <v>369</v>
      </c>
      <c r="H458" s="20"/>
      <c r="I458" s="20"/>
      <c r="J458" s="34" t="s">
        <v>694</v>
      </c>
      <c r="K458" s="34">
        <v>0</v>
      </c>
      <c r="L458" s="34">
        <v>0</v>
      </c>
      <c r="M458" s="20"/>
      <c r="N458" s="102" t="s">
        <v>1479</v>
      </c>
      <c r="O458" s="20"/>
      <c r="P458" s="20" t="s">
        <v>1480</v>
      </c>
      <c r="Q458" s="20" t="s">
        <v>1481</v>
      </c>
      <c r="R458" s="20"/>
      <c r="S458" s="34">
        <v>606</v>
      </c>
    </row>
    <row r="459" spans="1:19" ht="16.5" x14ac:dyDescent="0.35">
      <c r="A459" s="104" t="str">
        <f>HYPERLINK("https://www.examplebusiness.com/resource-center/tax/social-security-taxes","https://www.examplebusiness.com/resource-center/tax/social-security-taxes")</f>
        <v>https://www.examplebusiness.com/resource-center/tax/social-security-taxes</v>
      </c>
      <c r="B459" s="34">
        <v>200</v>
      </c>
      <c r="C459" s="34"/>
      <c r="D459" s="20" t="s">
        <v>2467</v>
      </c>
      <c r="E459" s="34" t="s">
        <v>691</v>
      </c>
      <c r="F459" s="34">
        <v>37</v>
      </c>
      <c r="G459" s="34">
        <v>322</v>
      </c>
      <c r="H459" s="20"/>
      <c r="I459" s="20"/>
      <c r="J459" s="34" t="s">
        <v>694</v>
      </c>
      <c r="K459" s="34">
        <v>0</v>
      </c>
      <c r="L459" s="34">
        <v>0</v>
      </c>
      <c r="M459" s="20"/>
      <c r="N459" s="102" t="s">
        <v>1482</v>
      </c>
      <c r="O459" s="20"/>
      <c r="P459" s="20" t="s">
        <v>843</v>
      </c>
      <c r="Q459" s="20" t="s">
        <v>845</v>
      </c>
      <c r="R459" s="20"/>
      <c r="S459" s="34">
        <v>118</v>
      </c>
    </row>
    <row r="460" spans="1:19" ht="16.5" x14ac:dyDescent="0.35">
      <c r="A460" s="104" t="str">
        <f>HYPERLINK("https://www.examplebusiness.com/resource-center/tax/tax-deductions-you-wont-believe","https://www.examplebusiness.com/resource-center/tax/tax-deductions-you-wont-believe")</f>
        <v>https://www.examplebusiness.com/resource-center/tax/tax-deductions-you-wont-believe</v>
      </c>
      <c r="B460" s="34">
        <v>200</v>
      </c>
      <c r="C460" s="34"/>
      <c r="D460" s="20" t="s">
        <v>2468</v>
      </c>
      <c r="E460" s="34" t="s">
        <v>691</v>
      </c>
      <c r="F460" s="34">
        <v>48</v>
      </c>
      <c r="G460" s="34">
        <v>434</v>
      </c>
      <c r="H460" s="20"/>
      <c r="I460" s="20"/>
      <c r="J460" s="34" t="s">
        <v>694</v>
      </c>
      <c r="K460" s="34">
        <v>0</v>
      </c>
      <c r="L460" s="34">
        <v>0</v>
      </c>
      <c r="M460" s="20"/>
      <c r="N460" s="102" t="s">
        <v>1483</v>
      </c>
      <c r="O460" s="20"/>
      <c r="P460" s="20" t="s">
        <v>1484</v>
      </c>
      <c r="Q460" s="20" t="s">
        <v>1485</v>
      </c>
      <c r="R460" s="20"/>
      <c r="S460" s="34">
        <v>629</v>
      </c>
    </row>
    <row r="461" spans="1:19" ht="16.5" x14ac:dyDescent="0.35">
      <c r="A461" s="104" t="str">
        <f>HYPERLINK("https://www.examplebusiness.com/resource-center/tax/tax-freedom-day","https://www.examplebusiness.com/resource-center/tax/tax-freedom-day")</f>
        <v>https://www.examplebusiness.com/resource-center/tax/tax-freedom-day</v>
      </c>
      <c r="B461" s="34">
        <v>200</v>
      </c>
      <c r="C461" s="34"/>
      <c r="D461" s="20" t="s">
        <v>2469</v>
      </c>
      <c r="E461" s="34" t="s">
        <v>691</v>
      </c>
      <c r="F461" s="34">
        <v>31</v>
      </c>
      <c r="G461" s="34">
        <v>291</v>
      </c>
      <c r="H461" s="20"/>
      <c r="I461" s="20"/>
      <c r="J461" s="34" t="s">
        <v>694</v>
      </c>
      <c r="K461" s="34">
        <v>0</v>
      </c>
      <c r="L461" s="34">
        <v>0</v>
      </c>
      <c r="M461" s="20"/>
      <c r="N461" s="102" t="s">
        <v>1486</v>
      </c>
      <c r="O461" s="20"/>
      <c r="P461" s="20" t="s">
        <v>843</v>
      </c>
      <c r="Q461" s="20" t="s">
        <v>845</v>
      </c>
      <c r="R461" s="20"/>
      <c r="S461" s="34">
        <v>125</v>
      </c>
    </row>
    <row r="462" spans="1:19" ht="16.5" x14ac:dyDescent="0.35">
      <c r="A462" s="104" t="str">
        <f>HYPERLINK("https://www.examplebusiness.com/resource-center/tax/tax-reform-before-and-after","https://www.examplebusiness.com/resource-center/tax/tax-reform-before-and-after")</f>
        <v>https://www.examplebusiness.com/resource-center/tax/tax-reform-before-and-after</v>
      </c>
      <c r="B462" s="34">
        <v>200</v>
      </c>
      <c r="C462" s="34"/>
      <c r="D462" s="20" t="s">
        <v>2470</v>
      </c>
      <c r="E462" s="34" t="s">
        <v>691</v>
      </c>
      <c r="F462" s="34">
        <v>44</v>
      </c>
      <c r="G462" s="34">
        <v>394</v>
      </c>
      <c r="H462" s="20"/>
      <c r="I462" s="20"/>
      <c r="J462" s="34" t="s">
        <v>694</v>
      </c>
      <c r="K462" s="34">
        <v>0</v>
      </c>
      <c r="L462" s="34">
        <v>0</v>
      </c>
      <c r="M462" s="20"/>
      <c r="N462" s="102" t="s">
        <v>1487</v>
      </c>
      <c r="O462" s="20"/>
      <c r="P462" s="20" t="s">
        <v>843</v>
      </c>
      <c r="Q462" s="20" t="s">
        <v>845</v>
      </c>
      <c r="R462" s="20"/>
      <c r="S462" s="34">
        <v>110</v>
      </c>
    </row>
    <row r="463" spans="1:19" ht="16.5" x14ac:dyDescent="0.35">
      <c r="A463" s="104" t="str">
        <f>HYPERLINK("https://www.examplebusiness.com/resource-center/tax/tax-rules-when-selling-your-home","https://www.examplebusiness.com/resource-center/tax/tax-rules-when-selling-your-home")</f>
        <v>https://www.examplebusiness.com/resource-center/tax/tax-rules-when-selling-your-home</v>
      </c>
      <c r="B463" s="34">
        <v>200</v>
      </c>
      <c r="C463" s="34"/>
      <c r="D463" s="20" t="s">
        <v>2471</v>
      </c>
      <c r="E463" s="34" t="s">
        <v>691</v>
      </c>
      <c r="F463" s="34">
        <v>48</v>
      </c>
      <c r="G463" s="34">
        <v>444</v>
      </c>
      <c r="H463" s="20"/>
      <c r="I463" s="20"/>
      <c r="J463" s="34" t="s">
        <v>694</v>
      </c>
      <c r="K463" s="34">
        <v>0</v>
      </c>
      <c r="L463" s="34">
        <v>0</v>
      </c>
      <c r="M463" s="20"/>
      <c r="N463" s="102" t="s">
        <v>1488</v>
      </c>
      <c r="O463" s="20"/>
      <c r="P463" s="20" t="s">
        <v>1489</v>
      </c>
      <c r="Q463" s="20" t="s">
        <v>1490</v>
      </c>
      <c r="R463" s="20"/>
      <c r="S463" s="34">
        <v>576</v>
      </c>
    </row>
    <row r="464" spans="1:19" ht="16.5" x14ac:dyDescent="0.35">
      <c r="A464" s="104" t="str">
        <f>HYPERLINK("https://www.examplebusiness.com/resource-center/tax/the-fact-about-income-tax","https://www.examplebusiness.com/resource-center/tax/the-fact-about-income-tax")</f>
        <v>https://www.examplebusiness.com/resource-center/tax/the-fact-about-income-tax</v>
      </c>
      <c r="B464" s="34">
        <v>200</v>
      </c>
      <c r="C464" s="34"/>
      <c r="D464" s="20" t="s">
        <v>2472</v>
      </c>
      <c r="E464" s="34" t="s">
        <v>691</v>
      </c>
      <c r="F464" s="34">
        <v>42</v>
      </c>
      <c r="G464" s="34">
        <v>386</v>
      </c>
      <c r="H464" s="20"/>
      <c r="I464" s="20"/>
      <c r="J464" s="34" t="s">
        <v>694</v>
      </c>
      <c r="K464" s="34">
        <v>0</v>
      </c>
      <c r="L464" s="34">
        <v>0</v>
      </c>
      <c r="M464" s="20"/>
      <c r="N464" s="102" t="s">
        <v>1450</v>
      </c>
      <c r="O464" s="20"/>
      <c r="P464" s="20" t="s">
        <v>843</v>
      </c>
      <c r="Q464" s="20" t="s">
        <v>845</v>
      </c>
      <c r="R464" s="20"/>
      <c r="S464" s="34">
        <v>106</v>
      </c>
    </row>
    <row r="465" spans="1:19" ht="16.5" x14ac:dyDescent="0.35">
      <c r="A465" s="104" t="str">
        <f>HYPERLINK("https://www.examplebusiness.com/resource-center/tax/what-do-your-taxes-pay-for","https://www.examplebusiness.com/resource-center/tax/what-do-your-taxes-pay-for")</f>
        <v>https://www.examplebusiness.com/resource-center/tax/what-do-your-taxes-pay-for</v>
      </c>
      <c r="B465" s="34">
        <v>200</v>
      </c>
      <c r="C465" s="34"/>
      <c r="D465" s="20" t="s">
        <v>2473</v>
      </c>
      <c r="E465" s="34" t="s">
        <v>691</v>
      </c>
      <c r="F465" s="34">
        <v>43</v>
      </c>
      <c r="G465" s="34">
        <v>404</v>
      </c>
      <c r="H465" s="20"/>
      <c r="I465" s="20"/>
      <c r="J465" s="34" t="s">
        <v>694</v>
      </c>
      <c r="K465" s="34">
        <v>0</v>
      </c>
      <c r="L465" s="34">
        <v>0</v>
      </c>
      <c r="M465" s="20"/>
      <c r="N465" s="102" t="s">
        <v>1491</v>
      </c>
      <c r="O465" s="20"/>
      <c r="P465" s="20" t="s">
        <v>1492</v>
      </c>
      <c r="Q465" s="20" t="s">
        <v>843</v>
      </c>
      <c r="R465" s="20"/>
      <c r="S465" s="34">
        <v>426</v>
      </c>
    </row>
    <row r="466" spans="1:19" ht="16.5" x14ac:dyDescent="0.35">
      <c r="A466" s="104" t="str">
        <f>HYPERLINK("https://www.examplebusiness.com/resource-center/tax/what-if-you-get-audited","https://www.examplebusiness.com/resource-center/tax/what-if-you-get-audited")</f>
        <v>https://www.examplebusiness.com/resource-center/tax/what-if-you-get-audited</v>
      </c>
      <c r="B466" s="34">
        <v>200</v>
      </c>
      <c r="C466" s="34"/>
      <c r="D466" s="20" t="s">
        <v>2474</v>
      </c>
      <c r="E466" s="34" t="s">
        <v>691</v>
      </c>
      <c r="F466" s="34">
        <v>40</v>
      </c>
      <c r="G466" s="34" t="s">
        <v>849</v>
      </c>
      <c r="H466" s="20"/>
      <c r="I466" s="20"/>
      <c r="J466" s="34" t="s">
        <v>694</v>
      </c>
      <c r="K466" s="34">
        <v>0</v>
      </c>
      <c r="L466" s="34">
        <v>0</v>
      </c>
      <c r="M466" s="20"/>
      <c r="N466" s="102" t="s">
        <v>1493</v>
      </c>
      <c r="O466" s="20"/>
      <c r="P466" s="20" t="s">
        <v>1494</v>
      </c>
      <c r="Q466" s="20" t="s">
        <v>843</v>
      </c>
      <c r="R466" s="20"/>
      <c r="S466" s="34">
        <v>722</v>
      </c>
    </row>
    <row r="467" spans="1:19" ht="16.5" x14ac:dyDescent="0.35">
      <c r="A467" s="104" t="str">
        <f>HYPERLINK("https://www.examplebusiness.com/resource-center/tax/what-is-a-1035-exchange","https://www.examplebusiness.com/resource-center/tax/what-is-a-1035-exchange")</f>
        <v>https://www.examplebusiness.com/resource-center/tax/what-is-a-1035-exchange</v>
      </c>
      <c r="B467" s="34">
        <v>200</v>
      </c>
      <c r="C467" s="34"/>
      <c r="D467" s="20" t="s">
        <v>2475</v>
      </c>
      <c r="E467" s="34" t="s">
        <v>691</v>
      </c>
      <c r="F467" s="34">
        <v>40</v>
      </c>
      <c r="G467" s="34">
        <v>370</v>
      </c>
      <c r="H467" s="20"/>
      <c r="I467" s="20"/>
      <c r="J467" s="34" t="s">
        <v>694</v>
      </c>
      <c r="K467" s="34">
        <v>0</v>
      </c>
      <c r="L467" s="34">
        <v>0</v>
      </c>
      <c r="M467" s="20"/>
      <c r="N467" s="102" t="s">
        <v>1495</v>
      </c>
      <c r="O467" s="20"/>
      <c r="P467" s="20" t="s">
        <v>1496</v>
      </c>
      <c r="Q467" s="20" t="s">
        <v>1497</v>
      </c>
      <c r="R467" s="20"/>
      <c r="S467" s="34">
        <v>949</v>
      </c>
    </row>
    <row r="468" spans="1:19" ht="16.5" x14ac:dyDescent="0.35">
      <c r="A468" s="104" t="str">
        <f>HYPERLINK("https://www.examplebusiness.com/resource-center/tax/what-the-new-tax-bill-means-for-you","https://www.examplebusiness.com/resource-center/tax/what-the-new-tax-bill-means-for-you")</f>
        <v>https://www.examplebusiness.com/resource-center/tax/what-the-new-tax-bill-means-for-you</v>
      </c>
      <c r="B468" s="34">
        <v>200</v>
      </c>
      <c r="C468" s="34"/>
      <c r="D468" s="20" t="s">
        <v>2476</v>
      </c>
      <c r="E468" s="34" t="s">
        <v>691</v>
      </c>
      <c r="F468" s="34">
        <v>51</v>
      </c>
      <c r="G468" s="34">
        <v>462</v>
      </c>
      <c r="H468" s="20"/>
      <c r="I468" s="20"/>
      <c r="J468" s="34" t="s">
        <v>694</v>
      </c>
      <c r="K468" s="34">
        <v>0</v>
      </c>
      <c r="L468" s="34">
        <v>0</v>
      </c>
      <c r="M468" s="20"/>
      <c r="N468" s="102" t="s">
        <v>1498</v>
      </c>
      <c r="O468" s="20"/>
      <c r="P468" s="20" t="s">
        <v>1499</v>
      </c>
      <c r="Q468" s="20" t="s">
        <v>1500</v>
      </c>
      <c r="R468" s="20"/>
      <c r="S468" s="34">
        <v>1245</v>
      </c>
    </row>
    <row r="469" spans="1:19" ht="16.5" x14ac:dyDescent="0.35">
      <c r="A469" s="104" t="str">
        <f>HYPERLINK("https://www.examplebusiness.com/resource-center/tax/you-may-need-to-make-estimated-tax-payments-if","https://www.examplebusiness.com/resource-center/tax/you-may-need-to-make-estimated-tax-payments-if")</f>
        <v>https://www.examplebusiness.com/resource-center/tax/you-may-need-to-make-estimated-tax-payments-if</v>
      </c>
      <c r="B469" s="34">
        <v>200</v>
      </c>
      <c r="C469" s="34"/>
      <c r="D469" s="20" t="s">
        <v>1501</v>
      </c>
      <c r="E469" s="34" t="s">
        <v>691</v>
      </c>
      <c r="F469" s="34">
        <v>47</v>
      </c>
      <c r="G469" s="34">
        <v>470</v>
      </c>
      <c r="H469" s="20"/>
      <c r="I469" s="20"/>
      <c r="J469" s="34" t="s">
        <v>694</v>
      </c>
      <c r="K469" s="34">
        <v>0</v>
      </c>
      <c r="L469" s="34">
        <v>0</v>
      </c>
      <c r="M469" s="20"/>
      <c r="N469" s="102" t="s">
        <v>1502</v>
      </c>
      <c r="O469" s="20"/>
      <c r="P469" s="20" t="s">
        <v>1503</v>
      </c>
      <c r="Q469" s="20" t="s">
        <v>1504</v>
      </c>
      <c r="R469" s="20"/>
      <c r="S469" s="34">
        <v>547</v>
      </c>
    </row>
    <row r="470" spans="1:19" ht="16.5" x14ac:dyDescent="0.35">
      <c r="A470" s="104" t="str">
        <f>HYPERLINK("https://www.examplebusiness.com/resource-center/videos","https://www.examplebusiness.com/resource-center/videos")</f>
        <v>https://www.examplebusiness.com/resource-center/videos</v>
      </c>
      <c r="B470" s="34">
        <v>200</v>
      </c>
      <c r="C470" s="34"/>
      <c r="D470" s="20" t="s">
        <v>2477</v>
      </c>
      <c r="E470" s="34" t="s">
        <v>691</v>
      </c>
      <c r="F470" s="34">
        <v>26</v>
      </c>
      <c r="G470" s="34">
        <v>220</v>
      </c>
      <c r="H470" s="20"/>
      <c r="I470" s="20"/>
      <c r="J470" s="34" t="s">
        <v>694</v>
      </c>
      <c r="K470" s="34">
        <v>0</v>
      </c>
      <c r="L470" s="34">
        <v>0</v>
      </c>
      <c r="M470" s="20"/>
      <c r="N470" s="102" t="s">
        <v>1505</v>
      </c>
      <c r="O470" s="20"/>
      <c r="P470" s="20"/>
      <c r="Q470" s="20"/>
      <c r="R470" s="20"/>
      <c r="S470" s="34">
        <v>1616</v>
      </c>
    </row>
    <row r="471" spans="1:19" ht="16.5" x14ac:dyDescent="0.35">
      <c r="A471" s="104" t="str">
        <f>HYPERLINK("https://www.examplebusiness.com/services-new","https://www.examplebusiness.com/services-new")</f>
        <v>https://www.examplebusiness.com/services-new</v>
      </c>
      <c r="B471" s="34">
        <v>200</v>
      </c>
      <c r="C471" s="34"/>
      <c r="D471" s="20" t="s">
        <v>2478</v>
      </c>
      <c r="E471" s="34" t="s">
        <v>691</v>
      </c>
      <c r="F471" s="34">
        <v>24</v>
      </c>
      <c r="G471" s="34">
        <v>208</v>
      </c>
      <c r="H471" s="20"/>
      <c r="I471" s="20"/>
      <c r="J471" s="34" t="s">
        <v>694</v>
      </c>
      <c r="K471" s="34">
        <v>0</v>
      </c>
      <c r="L471" s="34">
        <v>0</v>
      </c>
      <c r="M471" s="20"/>
      <c r="N471" s="102"/>
      <c r="O471" s="20"/>
      <c r="P471" s="20" t="s">
        <v>1506</v>
      </c>
      <c r="Q471" s="20" t="s">
        <v>1507</v>
      </c>
      <c r="R471" s="20"/>
      <c r="S471" s="34">
        <v>840</v>
      </c>
    </row>
    <row r="472" spans="1:19" ht="16.5" x14ac:dyDescent="0.35">
      <c r="A472" s="104" t="str">
        <f>HYPERLINK("https://www.examplebusiness.com/successionabc","https://www.examplebusiness.com/successionabc")</f>
        <v>https://www.examplebusiness.com/successionabc</v>
      </c>
      <c r="B472" s="34">
        <v>200</v>
      </c>
      <c r="C472" s="34"/>
      <c r="D472" s="20" t="s">
        <v>2479</v>
      </c>
      <c r="E472" s="34" t="s">
        <v>691</v>
      </c>
      <c r="F472" s="34">
        <v>29</v>
      </c>
      <c r="G472" s="34">
        <v>265</v>
      </c>
      <c r="H472" s="20"/>
      <c r="I472" s="20"/>
      <c r="J472" s="34" t="s">
        <v>694</v>
      </c>
      <c r="K472" s="34">
        <v>0</v>
      </c>
      <c r="L472" s="34">
        <v>0</v>
      </c>
      <c r="M472" s="20"/>
      <c r="N472" s="102"/>
      <c r="O472" s="20"/>
      <c r="P472" s="20" t="s">
        <v>1508</v>
      </c>
      <c r="Q472" s="20" t="s">
        <v>1509</v>
      </c>
      <c r="R472" s="20"/>
      <c r="S472" s="34">
        <v>462</v>
      </c>
    </row>
    <row r="473" spans="1:19" ht="16.5" x14ac:dyDescent="0.35">
      <c r="A473" s="104" t="str">
        <f>HYPERLINK("https://www.examplebusiness.com/team/amy-lemke","https://www.examplebusiness.com/team/amy-lemke")</f>
        <v>https://www.examplebusiness.com/team/amy-lemke</v>
      </c>
      <c r="B473" s="34">
        <v>200</v>
      </c>
      <c r="C473" s="34"/>
      <c r="D473" s="20" t="s">
        <v>2480</v>
      </c>
      <c r="E473" s="34" t="s">
        <v>691</v>
      </c>
      <c r="F473" s="34">
        <v>25</v>
      </c>
      <c r="G473" s="34">
        <v>237</v>
      </c>
      <c r="H473" s="20"/>
      <c r="I473" s="20"/>
      <c r="J473" s="34" t="s">
        <v>694</v>
      </c>
      <c r="K473" s="34">
        <v>0</v>
      </c>
      <c r="L473" s="34">
        <v>0</v>
      </c>
      <c r="M473" s="20"/>
      <c r="N473" s="102" t="s">
        <v>1510</v>
      </c>
      <c r="O473" s="20"/>
      <c r="P473" s="20" t="s">
        <v>1511</v>
      </c>
      <c r="Q473" s="20"/>
      <c r="R473" s="20"/>
      <c r="S473" s="34">
        <v>180</v>
      </c>
    </row>
    <row r="474" spans="1:19" ht="16.5" x14ac:dyDescent="0.35">
      <c r="A474" s="104" t="str">
        <f>HYPERLINK("https://www.examplebusiness.com/team/andrea-vieyra","https://www.examplebusiness.com/team/andrea-vieyra")</f>
        <v>https://www.examplebusiness.com/team/andrea-vieyra</v>
      </c>
      <c r="B474" s="34">
        <v>200</v>
      </c>
      <c r="C474" s="34"/>
      <c r="D474" s="20" t="s">
        <v>2481</v>
      </c>
      <c r="E474" s="34" t="s">
        <v>691</v>
      </c>
      <c r="F474" s="34">
        <v>29</v>
      </c>
      <c r="G474" s="34">
        <v>258</v>
      </c>
      <c r="H474" s="20"/>
      <c r="I474" s="20"/>
      <c r="J474" s="34" t="s">
        <v>694</v>
      </c>
      <c r="K474" s="34">
        <v>0</v>
      </c>
      <c r="L474" s="34">
        <v>0</v>
      </c>
      <c r="M474" s="20"/>
      <c r="N474" s="102" t="s">
        <v>1512</v>
      </c>
      <c r="O474" s="20"/>
      <c r="P474" s="20" t="s">
        <v>1513</v>
      </c>
      <c r="Q474" s="20"/>
      <c r="R474" s="20"/>
      <c r="S474" s="34">
        <v>146</v>
      </c>
    </row>
    <row r="475" spans="1:19" ht="16.5" x14ac:dyDescent="0.35">
      <c r="A475" s="104" t="str">
        <f>HYPERLINK("https://www.examplebusiness.com/team/dan-mohoney-1","https://www.examplebusiness.com/team/dan-mohoney-1")</f>
        <v>https://www.examplebusiness.com/team/dan-mohoney-1</v>
      </c>
      <c r="B475" s="34">
        <v>200</v>
      </c>
      <c r="C475" s="34"/>
      <c r="D475" s="20" t="s">
        <v>2482</v>
      </c>
      <c r="E475" s="34" t="s">
        <v>691</v>
      </c>
      <c r="F475" s="34">
        <v>27</v>
      </c>
      <c r="G475" s="34">
        <v>254</v>
      </c>
      <c r="H475" s="20"/>
      <c r="I475" s="20"/>
      <c r="J475" s="34" t="s">
        <v>694</v>
      </c>
      <c r="K475" s="34">
        <v>0</v>
      </c>
      <c r="L475" s="34">
        <v>0</v>
      </c>
      <c r="M475" s="20"/>
      <c r="N475" s="102" t="s">
        <v>1514</v>
      </c>
      <c r="O475" s="20"/>
      <c r="P475" s="20" t="s">
        <v>1515</v>
      </c>
      <c r="Q475" s="20"/>
      <c r="R475" s="20"/>
      <c r="S475" s="34">
        <v>218</v>
      </c>
    </row>
    <row r="476" spans="1:19" ht="16.5" x14ac:dyDescent="0.35">
      <c r="A476" s="104" t="str">
        <f>HYPERLINK("https://www.examplebusiness.com/team/emily-moore","https://www.examplebusiness.com/team/emily-moore")</f>
        <v>https://www.examplebusiness.com/team/emily-moore</v>
      </c>
      <c r="B476" s="34">
        <v>200</v>
      </c>
      <c r="C476" s="34"/>
      <c r="D476" s="20" t="s">
        <v>2483</v>
      </c>
      <c r="E476" s="34" t="s">
        <v>691</v>
      </c>
      <c r="F476" s="34">
        <v>27</v>
      </c>
      <c r="G476" s="34">
        <v>243</v>
      </c>
      <c r="H476" s="20"/>
      <c r="I476" s="20"/>
      <c r="J476" s="34" t="s">
        <v>694</v>
      </c>
      <c r="K476" s="34">
        <v>0</v>
      </c>
      <c r="L476" s="34">
        <v>0</v>
      </c>
      <c r="M476" s="20"/>
      <c r="N476" s="102" t="s">
        <v>1516</v>
      </c>
      <c r="O476" s="20"/>
      <c r="P476" s="20" t="s">
        <v>1517</v>
      </c>
      <c r="Q476" s="20"/>
      <c r="R476" s="20"/>
      <c r="S476" s="34">
        <v>146</v>
      </c>
    </row>
    <row r="477" spans="1:19" ht="16.5" x14ac:dyDescent="0.35">
      <c r="A477" s="104" t="str">
        <f>HYPERLINK("https://www.examplebusiness.com/team/jeff-thompson-1","https://www.examplebusiness.com/team/jeff-thompson-1")</f>
        <v>https://www.examplebusiness.com/team/jeff-thompson-1</v>
      </c>
      <c r="B477" s="34">
        <v>200</v>
      </c>
      <c r="C477" s="34"/>
      <c r="D477" s="20" t="s">
        <v>2484</v>
      </c>
      <c r="E477" s="34" t="s">
        <v>691</v>
      </c>
      <c r="F477" s="34">
        <v>29</v>
      </c>
      <c r="G477" s="34">
        <v>263</v>
      </c>
      <c r="H477" s="20"/>
      <c r="I477" s="20"/>
      <c r="J477" s="34" t="s">
        <v>694</v>
      </c>
      <c r="K477" s="34">
        <v>0</v>
      </c>
      <c r="L477" s="34">
        <v>0</v>
      </c>
      <c r="M477" s="20"/>
      <c r="N477" s="102" t="s">
        <v>1518</v>
      </c>
      <c r="O477" s="20"/>
      <c r="P477" s="20" t="s">
        <v>1515</v>
      </c>
      <c r="Q477" s="20"/>
      <c r="R477" s="20"/>
      <c r="S477" s="34">
        <v>207</v>
      </c>
    </row>
    <row r="478" spans="1:19" ht="16.5" x14ac:dyDescent="0.35">
      <c r="A478" s="104" t="str">
        <f>HYPERLINK("https://www.examplebusiness.com/team/john-vanderpoel","https://www.examplebusiness.com/team/john-vanderpoel")</f>
        <v>https://www.examplebusiness.com/team/john-vanderpoel</v>
      </c>
      <c r="B478" s="34">
        <v>200</v>
      </c>
      <c r="C478" s="34"/>
      <c r="D478" s="20" t="s">
        <v>2485</v>
      </c>
      <c r="E478" s="34" t="s">
        <v>691</v>
      </c>
      <c r="F478" s="34">
        <v>31</v>
      </c>
      <c r="G478" s="34">
        <v>280</v>
      </c>
      <c r="H478" s="20"/>
      <c r="I478" s="20"/>
      <c r="J478" s="34" t="s">
        <v>694</v>
      </c>
      <c r="K478" s="34">
        <v>0</v>
      </c>
      <c r="L478" s="34">
        <v>0</v>
      </c>
      <c r="M478" s="20"/>
      <c r="N478" s="102" t="s">
        <v>1519</v>
      </c>
      <c r="O478" s="20"/>
      <c r="P478" s="20" t="s">
        <v>1520</v>
      </c>
      <c r="Q478" s="20"/>
      <c r="R478" s="20"/>
      <c r="S478" s="34">
        <v>117</v>
      </c>
    </row>
    <row r="479" spans="1:19" ht="16.5" x14ac:dyDescent="0.35">
      <c r="A479" s="104" t="str">
        <f>HYPERLINK("https://www.examplebusiness.com/team/kirsten-davidson","https://www.examplebusiness.com/team/kirsten-davidson")</f>
        <v>https://www.examplebusiness.com/team/kirsten-davidson</v>
      </c>
      <c r="B479" s="34">
        <v>200</v>
      </c>
      <c r="C479" s="34"/>
      <c r="D479" s="20" t="s">
        <v>2486</v>
      </c>
      <c r="E479" s="34" t="s">
        <v>691</v>
      </c>
      <c r="F479" s="34">
        <v>32</v>
      </c>
      <c r="G479" s="34">
        <v>280</v>
      </c>
      <c r="H479" s="20"/>
      <c r="I479" s="20"/>
      <c r="J479" s="34" t="s">
        <v>694</v>
      </c>
      <c r="K479" s="34">
        <v>0</v>
      </c>
      <c r="L479" s="34">
        <v>0</v>
      </c>
      <c r="M479" s="20"/>
      <c r="N479" s="102" t="s">
        <v>1521</v>
      </c>
      <c r="O479" s="20"/>
      <c r="P479" s="20" t="s">
        <v>1522</v>
      </c>
      <c r="Q479" s="20"/>
      <c r="R479" s="20"/>
      <c r="S479" s="34">
        <v>126</v>
      </c>
    </row>
    <row r="480" spans="1:19" ht="16.5" x14ac:dyDescent="0.35">
      <c r="A480" s="104" t="str">
        <f>HYPERLINK("https://www.examplebusiness.com/team/lindsey-lewis","https://www.examplebusiness.com/team/lindsey-lewis")</f>
        <v>https://www.examplebusiness.com/team/lindsey-lewis</v>
      </c>
      <c r="B480" s="34">
        <v>200</v>
      </c>
      <c r="C480" s="34"/>
      <c r="D480" s="20" t="s">
        <v>2487</v>
      </c>
      <c r="E480" s="34" t="s">
        <v>691</v>
      </c>
      <c r="F480" s="34">
        <v>29</v>
      </c>
      <c r="G480" s="34">
        <v>257</v>
      </c>
      <c r="H480" s="20"/>
      <c r="I480" s="20"/>
      <c r="J480" s="34" t="s">
        <v>694</v>
      </c>
      <c r="K480" s="34">
        <v>0</v>
      </c>
      <c r="L480" s="34">
        <v>0</v>
      </c>
      <c r="M480" s="20"/>
      <c r="N480" s="102" t="s">
        <v>1523</v>
      </c>
      <c r="O480" s="20"/>
      <c r="P480" s="20" t="s">
        <v>1524</v>
      </c>
      <c r="Q480" s="20"/>
      <c r="R480" s="20"/>
      <c r="S480" s="34">
        <v>116</v>
      </c>
    </row>
    <row r="481" spans="1:19" ht="16.5" x14ac:dyDescent="0.35">
      <c r="A481" s="104" t="str">
        <f>HYPERLINK("https://www.examplebusiness.com/team/michelle-vanderpoel","https://www.examplebusiness.com/team/michelle-vanderpoel")</f>
        <v>https://www.examplebusiness.com/team/michelle-vanderpoel</v>
      </c>
      <c r="B481" s="34">
        <v>200</v>
      </c>
      <c r="C481" s="34"/>
      <c r="D481" s="20" t="s">
        <v>2488</v>
      </c>
      <c r="E481" s="34" t="s">
        <v>691</v>
      </c>
      <c r="F481" s="34">
        <v>35</v>
      </c>
      <c r="G481" s="34">
        <v>310</v>
      </c>
      <c r="H481" s="20"/>
      <c r="I481" s="20"/>
      <c r="J481" s="34" t="s">
        <v>694</v>
      </c>
      <c r="K481" s="34">
        <v>0</v>
      </c>
      <c r="L481" s="34">
        <v>0</v>
      </c>
      <c r="M481" s="20"/>
      <c r="N481" s="102" t="s">
        <v>1525</v>
      </c>
      <c r="O481" s="20"/>
      <c r="P481" s="20" t="s">
        <v>1526</v>
      </c>
      <c r="Q481" s="20"/>
      <c r="R481" s="20"/>
      <c r="S481" s="34">
        <v>168</v>
      </c>
    </row>
    <row r="482" spans="1:19" ht="16.5" x14ac:dyDescent="0.35">
      <c r="A482" s="104" t="str">
        <f>HYPERLINK("https://www.examplebusiness.com/team/mike-rogers-1","https://www.examplebusiness.com/team/mike-rogers-1")</f>
        <v>https://www.examplebusiness.com/team/mike-rogers-1</v>
      </c>
      <c r="B482" s="34">
        <v>200</v>
      </c>
      <c r="C482" s="34"/>
      <c r="D482" s="20" t="s">
        <v>2489</v>
      </c>
      <c r="E482" s="34" t="s">
        <v>691</v>
      </c>
      <c r="F482" s="34">
        <v>27</v>
      </c>
      <c r="G482" s="34">
        <v>245</v>
      </c>
      <c r="H482" s="20"/>
      <c r="I482" s="20"/>
      <c r="J482" s="34" t="s">
        <v>694</v>
      </c>
      <c r="K482" s="34">
        <v>0</v>
      </c>
      <c r="L482" s="34">
        <v>0</v>
      </c>
      <c r="M482" s="20"/>
      <c r="N482" s="102" t="s">
        <v>1527</v>
      </c>
      <c r="O482" s="20"/>
      <c r="P482" s="20" t="s">
        <v>1528</v>
      </c>
      <c r="Q482" s="20"/>
      <c r="R482" s="20"/>
      <c r="S482" s="34">
        <v>349</v>
      </c>
    </row>
    <row r="483" spans="1:19" ht="16.5" x14ac:dyDescent="0.35">
      <c r="A483" s="104" t="str">
        <f>HYPERLINK("https://www.examplebusiness.com/team/nick-andresen-1","https://www.examplebusiness.com/team/nick-andresen-1")</f>
        <v>https://www.examplebusiness.com/team/nick-andresen-1</v>
      </c>
      <c r="B483" s="34">
        <v>200</v>
      </c>
      <c r="C483" s="34"/>
      <c r="D483" s="20" t="s">
        <v>2490</v>
      </c>
      <c r="E483" s="34" t="s">
        <v>691</v>
      </c>
      <c r="F483" s="34">
        <v>40</v>
      </c>
      <c r="G483" s="34">
        <v>362</v>
      </c>
      <c r="H483" s="20"/>
      <c r="I483" s="20"/>
      <c r="J483" s="34" t="s">
        <v>694</v>
      </c>
      <c r="K483" s="34">
        <v>0</v>
      </c>
      <c r="L483" s="34">
        <v>0</v>
      </c>
      <c r="M483" s="20"/>
      <c r="N483" s="102" t="s">
        <v>1529</v>
      </c>
      <c r="O483" s="20"/>
      <c r="P483" s="20" t="s">
        <v>1530</v>
      </c>
      <c r="Q483" s="20"/>
      <c r="R483" s="20"/>
      <c r="S483" s="34">
        <v>268</v>
      </c>
    </row>
    <row r="484" spans="1:19" ht="16.5" x14ac:dyDescent="0.35">
      <c r="A484" s="104" t="str">
        <f>HYPERLINK("https://www.examplebusiness.com/team/robert-withers-1","https://www.examplebusiness.com/team/robert-withers-1")</f>
        <v>https://www.examplebusiness.com/team/robert-withers-1</v>
      </c>
      <c r="B484" s="34">
        <v>200</v>
      </c>
      <c r="C484" s="34"/>
      <c r="D484" s="20" t="s">
        <v>2491</v>
      </c>
      <c r="E484" s="34" t="s">
        <v>691</v>
      </c>
      <c r="F484" s="34">
        <v>30</v>
      </c>
      <c r="G484" s="34">
        <v>266</v>
      </c>
      <c r="H484" s="20"/>
      <c r="I484" s="20"/>
      <c r="J484" s="34" t="s">
        <v>694</v>
      </c>
      <c r="K484" s="34">
        <v>0</v>
      </c>
      <c r="L484" s="34">
        <v>0</v>
      </c>
      <c r="M484" s="20"/>
      <c r="N484" s="102" t="s">
        <v>1531</v>
      </c>
      <c r="O484" s="20"/>
      <c r="P484" s="20" t="s">
        <v>1515</v>
      </c>
      <c r="Q484" s="20"/>
      <c r="R484" s="20"/>
      <c r="S484" s="34">
        <v>249</v>
      </c>
    </row>
    <row r="485" spans="1:19" ht="16.5" x14ac:dyDescent="0.35">
      <c r="A485" s="104" t="str">
        <f>HYPERLINK("https://www.examplebusiness.com/team/theresa-goff","https://www.examplebusiness.com/team/theresa-goff")</f>
        <v>https://www.examplebusiness.com/team/theresa-goff</v>
      </c>
      <c r="B485" s="34">
        <v>200</v>
      </c>
      <c r="C485" s="34"/>
      <c r="D485" s="20" t="s">
        <v>2492</v>
      </c>
      <c r="E485" s="34" t="s">
        <v>691</v>
      </c>
      <c r="F485" s="34">
        <v>28</v>
      </c>
      <c r="G485" s="34">
        <v>250</v>
      </c>
      <c r="H485" s="20"/>
      <c r="I485" s="20"/>
      <c r="J485" s="34" t="s">
        <v>694</v>
      </c>
      <c r="K485" s="34">
        <v>0</v>
      </c>
      <c r="L485" s="34">
        <v>0</v>
      </c>
      <c r="M485" s="20"/>
      <c r="N485" s="102" t="s">
        <v>1532</v>
      </c>
      <c r="O485" s="20"/>
      <c r="P485" s="20" t="s">
        <v>1533</v>
      </c>
      <c r="Q485" s="20"/>
      <c r="R485" s="20"/>
      <c r="S485" s="34">
        <v>141</v>
      </c>
    </row>
    <row r="486" spans="1:19" ht="16.5" x14ac:dyDescent="0.35">
      <c r="A486" s="104" t="str">
        <f>HYPERLINK("https://www.examplebusiness.com/team/tom-whitnah-1","https://www.examplebusiness.com/team/tom-whitnah-1")</f>
        <v>https://www.examplebusiness.com/team/tom-whitnah-1</v>
      </c>
      <c r="B486" s="34">
        <v>200</v>
      </c>
      <c r="C486" s="34"/>
      <c r="D486" s="20" t="s">
        <v>2493</v>
      </c>
      <c r="E486" s="34" t="s">
        <v>691</v>
      </c>
      <c r="F486" s="34">
        <v>27</v>
      </c>
      <c r="G486" s="34">
        <v>248</v>
      </c>
      <c r="H486" s="20"/>
      <c r="I486" s="20"/>
      <c r="J486" s="34" t="s">
        <v>694</v>
      </c>
      <c r="K486" s="34">
        <v>0</v>
      </c>
      <c r="L486" s="34">
        <v>0</v>
      </c>
      <c r="M486" s="20"/>
      <c r="N486" s="102" t="s">
        <v>1534</v>
      </c>
      <c r="O486" s="20"/>
      <c r="P486" s="20" t="s">
        <v>1515</v>
      </c>
      <c r="Q486" s="20"/>
      <c r="R486" s="20"/>
      <c r="S486" s="34">
        <v>218</v>
      </c>
    </row>
    <row r="487" spans="1:19" ht="16.5" x14ac:dyDescent="0.35">
      <c r="A487" s="100" t="str">
        <f>HYPERLINK("http://abcExample.com/","http://abcExample.com/")</f>
        <v>http://abcExample.com/</v>
      </c>
      <c r="B487" s="34">
        <v>301</v>
      </c>
      <c r="C487" s="34" t="s">
        <v>810</v>
      </c>
      <c r="D487" s="20"/>
      <c r="E487" s="34" t="s">
        <v>694</v>
      </c>
      <c r="F487" s="34">
        <v>0</v>
      </c>
      <c r="G487" s="101">
        <v>0</v>
      </c>
      <c r="H487" s="20"/>
      <c r="I487" s="20"/>
      <c r="J487" s="34" t="s">
        <v>694</v>
      </c>
      <c r="K487" s="34">
        <v>0</v>
      </c>
      <c r="L487" s="34">
        <v>0</v>
      </c>
      <c r="M487" s="20"/>
      <c r="N487" s="102"/>
      <c r="O487" s="20"/>
      <c r="P487" s="20"/>
      <c r="Q487" s="20"/>
      <c r="R487" s="20"/>
      <c r="S487" s="34">
        <v>0</v>
      </c>
    </row>
    <row r="488" spans="1:19" ht="16.5" x14ac:dyDescent="0.35">
      <c r="A488" s="100" t="str">
        <f>HYPERLINK("http://www.abcExample.com/","http://www.abcExample.com/")</f>
        <v>http://www.abcExample.com/</v>
      </c>
      <c r="B488" s="34">
        <v>301</v>
      </c>
      <c r="C488" s="34" t="s">
        <v>810</v>
      </c>
      <c r="D488" s="20"/>
      <c r="E488" s="34" t="s">
        <v>694</v>
      </c>
      <c r="F488" s="34">
        <v>0</v>
      </c>
      <c r="G488" s="101">
        <v>0</v>
      </c>
      <c r="H488" s="20"/>
      <c r="I488" s="20"/>
      <c r="J488" s="34" t="s">
        <v>694</v>
      </c>
      <c r="K488" s="34">
        <v>0</v>
      </c>
      <c r="L488" s="34">
        <v>0</v>
      </c>
      <c r="M488" s="20"/>
      <c r="N488" s="102"/>
      <c r="O488" s="103"/>
      <c r="P488" s="20"/>
      <c r="Q488" s="20"/>
      <c r="R488" s="20"/>
      <c r="S488" s="34">
        <v>0</v>
      </c>
    </row>
    <row r="489" spans="1:19" ht="16.5" x14ac:dyDescent="0.35">
      <c r="A489" s="104" t="str">
        <f>HYPERLINK("http://www.abcExample.com/resource-center/estate/principles-of-preserving-wealth?responsive=false","http://www.abcExample.com/resource-center/estate/principles-of-preserving-wealth?responsive=false")</f>
        <v>http://www.abcExample.com/resource-center/estate/principles-of-preserving-wealth?responsive=false</v>
      </c>
      <c r="B489" s="34">
        <v>301</v>
      </c>
      <c r="C489" s="34" t="s">
        <v>810</v>
      </c>
      <c r="D489" s="20"/>
      <c r="E489" s="34" t="s">
        <v>694</v>
      </c>
      <c r="F489" s="34">
        <v>0</v>
      </c>
      <c r="G489" s="34">
        <v>0</v>
      </c>
      <c r="H489" s="20"/>
      <c r="I489" s="20"/>
      <c r="J489" s="34" t="s">
        <v>694</v>
      </c>
      <c r="K489" s="34">
        <v>0</v>
      </c>
      <c r="L489" s="34">
        <v>0</v>
      </c>
      <c r="M489" s="20"/>
      <c r="N489" s="102"/>
      <c r="O489" s="20"/>
      <c r="P489" s="20"/>
      <c r="Q489" s="20"/>
      <c r="R489" s="20"/>
      <c r="S489" s="34">
        <v>0</v>
      </c>
    </row>
    <row r="490" spans="1:19" ht="16.5" x14ac:dyDescent="0.35">
      <c r="A490" s="104" t="str">
        <f>HYPERLINK("http://www.abcExample.com/resource-center/insurance/protecting-those-who-matter-most?responsive=false","http://www.abcExample.com/resource-center/insurance/protecting-those-who-matter-most?responsive=false")</f>
        <v>http://www.abcExample.com/resource-center/insurance/protecting-those-who-matter-most?responsive=false</v>
      </c>
      <c r="B490" s="34">
        <v>301</v>
      </c>
      <c r="C490" s="34" t="s">
        <v>810</v>
      </c>
      <c r="D490" s="20"/>
      <c r="E490" s="34" t="s">
        <v>694</v>
      </c>
      <c r="F490" s="34">
        <v>0</v>
      </c>
      <c r="G490" s="34">
        <v>0</v>
      </c>
      <c r="H490" s="20"/>
      <c r="I490" s="20"/>
      <c r="J490" s="34" t="s">
        <v>694</v>
      </c>
      <c r="K490" s="34">
        <v>0</v>
      </c>
      <c r="L490" s="34">
        <v>0</v>
      </c>
      <c r="M490" s="20"/>
      <c r="N490" s="102"/>
      <c r="O490" s="20"/>
      <c r="P490" s="20"/>
      <c r="Q490" s="20"/>
      <c r="R490" s="20"/>
      <c r="S490" s="34">
        <v>0</v>
      </c>
    </row>
    <row r="491" spans="1:19" ht="16.5" x14ac:dyDescent="0.35">
      <c r="A491" s="104" t="str">
        <f>HYPERLINK("http://www.abcExample.com/resource-center/investment/5-smart-investing-principles?responsive=false","http://www.abcExample.com/resource-center/investment/5-smart-investing-principles?responsive=false")</f>
        <v>http://www.abcExample.com/resource-center/investment/5-smart-investing-principles?responsive=false</v>
      </c>
      <c r="B491" s="34">
        <v>301</v>
      </c>
      <c r="C491" s="34" t="s">
        <v>810</v>
      </c>
      <c r="D491" s="20"/>
      <c r="E491" s="34" t="s">
        <v>694</v>
      </c>
      <c r="F491" s="34">
        <v>0</v>
      </c>
      <c r="G491" s="34">
        <v>0</v>
      </c>
      <c r="H491" s="20"/>
      <c r="I491" s="20"/>
      <c r="J491" s="34" t="s">
        <v>694</v>
      </c>
      <c r="K491" s="34">
        <v>0</v>
      </c>
      <c r="L491" s="34">
        <v>0</v>
      </c>
      <c r="M491" s="20"/>
      <c r="N491" s="102"/>
      <c r="O491" s="20"/>
      <c r="P491" s="20"/>
      <c r="Q491" s="20"/>
      <c r="R491" s="20"/>
      <c r="S491" s="34">
        <v>0</v>
      </c>
    </row>
    <row r="492" spans="1:19" ht="16.5" x14ac:dyDescent="0.35">
      <c r="A492" s="104" t="str">
        <f>HYPERLINK("http://www.abcExample.com/resource-center/investment/5-smart-investing-strategies?responsive=false","http://www.abcExample.com/resource-center/investment/5-smart-investing-strategies?responsive=false")</f>
        <v>http://www.abcExample.com/resource-center/investment/5-smart-investing-strategies?responsive=false</v>
      </c>
      <c r="B492" s="34">
        <v>301</v>
      </c>
      <c r="C492" s="34" t="s">
        <v>810</v>
      </c>
      <c r="D492" s="20"/>
      <c r="E492" s="34" t="s">
        <v>694</v>
      </c>
      <c r="F492" s="34">
        <v>0</v>
      </c>
      <c r="G492" s="34">
        <v>0</v>
      </c>
      <c r="H492" s="20"/>
      <c r="I492" s="20"/>
      <c r="J492" s="34" t="s">
        <v>694</v>
      </c>
      <c r="K492" s="34">
        <v>0</v>
      </c>
      <c r="L492" s="34">
        <v>0</v>
      </c>
      <c r="M492" s="20"/>
      <c r="N492" s="102"/>
      <c r="O492" s="20"/>
      <c r="P492" s="20"/>
      <c r="Q492" s="20"/>
      <c r="R492" s="20"/>
      <c r="S492" s="34">
        <v>0</v>
      </c>
    </row>
    <row r="493" spans="1:19" ht="16.5" x14ac:dyDescent="0.35">
      <c r="A493" s="104" t="str">
        <f>HYPERLINK("http://www.abcExample.com/resource-center/lifestyle/managing-your-lifestyle?responsive=false","http://www.abcExample.com/resource-center/lifestyle/managing-your-lifestyle?responsive=false")</f>
        <v>http://www.abcExample.com/resource-center/lifestyle/managing-your-lifestyle?responsive=false</v>
      </c>
      <c r="B493" s="34">
        <v>301</v>
      </c>
      <c r="C493" s="34" t="s">
        <v>810</v>
      </c>
      <c r="D493" s="20"/>
      <c r="E493" s="34" t="s">
        <v>694</v>
      </c>
      <c r="F493" s="34">
        <v>0</v>
      </c>
      <c r="G493" s="34">
        <v>0</v>
      </c>
      <c r="H493" s="20"/>
      <c r="I493" s="20"/>
      <c r="J493" s="34" t="s">
        <v>694</v>
      </c>
      <c r="K493" s="34">
        <v>0</v>
      </c>
      <c r="L493" s="34">
        <v>0</v>
      </c>
      <c r="M493" s="20"/>
      <c r="N493" s="102"/>
      <c r="O493" s="20"/>
      <c r="P493" s="20"/>
      <c r="Q493" s="20"/>
      <c r="R493" s="20"/>
      <c r="S493" s="34">
        <v>0</v>
      </c>
    </row>
    <row r="494" spans="1:19" ht="16.5" x14ac:dyDescent="0.35">
      <c r="A494" s="104" t="str">
        <f>HYPERLINK("http://www.abcExample.com/resource-center/money/your-cash-flow-statement?responsive=false","http://www.abcExample.com/resource-center/money/your-cash-flow-statement?responsive=false")</f>
        <v>http://www.abcExample.com/resource-center/money/your-cash-flow-statement?responsive=false</v>
      </c>
      <c r="B494" s="34">
        <v>301</v>
      </c>
      <c r="C494" s="34" t="s">
        <v>810</v>
      </c>
      <c r="D494" s="20"/>
      <c r="E494" s="34" t="s">
        <v>694</v>
      </c>
      <c r="F494" s="34">
        <v>0</v>
      </c>
      <c r="G494" s="34">
        <v>0</v>
      </c>
      <c r="H494" s="20"/>
      <c r="I494" s="20"/>
      <c r="J494" s="34" t="s">
        <v>694</v>
      </c>
      <c r="K494" s="34">
        <v>0</v>
      </c>
      <c r="L494" s="34">
        <v>0</v>
      </c>
      <c r="M494" s="20"/>
      <c r="N494" s="102"/>
      <c r="O494" s="20"/>
      <c r="P494" s="20"/>
      <c r="Q494" s="20"/>
      <c r="R494" s="20"/>
      <c r="S494" s="34">
        <v>0</v>
      </c>
    </row>
    <row r="495" spans="1:19" ht="16.5" x14ac:dyDescent="0.35">
      <c r="A495" s="104" t="str">
        <f>HYPERLINK("http://www.abcExample.com/resource-center/retirement/an-inside-look-at-retirement-living?responsive=false","http://www.abcExample.com/resource-center/retirement/an-inside-look-at-retirement-living?responsive=false")</f>
        <v>http://www.abcExample.com/resource-center/retirement/an-inside-look-at-retirement-living?responsive=false</v>
      </c>
      <c r="B495" s="34">
        <v>301</v>
      </c>
      <c r="C495" s="34" t="s">
        <v>810</v>
      </c>
      <c r="D495" s="20"/>
      <c r="E495" s="34" t="s">
        <v>694</v>
      </c>
      <c r="F495" s="34">
        <v>0</v>
      </c>
      <c r="G495" s="34">
        <v>0</v>
      </c>
      <c r="H495" s="20"/>
      <c r="I495" s="20"/>
      <c r="J495" s="34" t="s">
        <v>694</v>
      </c>
      <c r="K495" s="34">
        <v>0</v>
      </c>
      <c r="L495" s="34">
        <v>0</v>
      </c>
      <c r="M495" s="20"/>
      <c r="N495" s="102"/>
      <c r="O495" s="20"/>
      <c r="P495" s="20"/>
      <c r="Q495" s="20"/>
      <c r="R495" s="20"/>
      <c r="S495" s="34">
        <v>0</v>
      </c>
    </row>
    <row r="496" spans="1:19" ht="16.5" x14ac:dyDescent="0.35">
      <c r="A496" s="104" t="str">
        <f>HYPERLINK("http://www.abcExample.com/resource-center/retirement/investment-strategies-for-retirement?responsive=false","http://www.abcExample.com/resource-center/retirement/investment-strategies-for-retirement?responsive=false")</f>
        <v>http://www.abcExample.com/resource-center/retirement/investment-strategies-for-retirement?responsive=false</v>
      </c>
      <c r="B496" s="34">
        <v>301</v>
      </c>
      <c r="C496" s="34" t="s">
        <v>810</v>
      </c>
      <c r="D496" s="20"/>
      <c r="E496" s="34" t="s">
        <v>694</v>
      </c>
      <c r="F496" s="34">
        <v>0</v>
      </c>
      <c r="G496" s="34">
        <v>0</v>
      </c>
      <c r="H496" s="20"/>
      <c r="I496" s="20"/>
      <c r="J496" s="34" t="s">
        <v>694</v>
      </c>
      <c r="K496" s="34">
        <v>0</v>
      </c>
      <c r="L496" s="34">
        <v>0</v>
      </c>
      <c r="M496" s="20"/>
      <c r="N496" s="102"/>
      <c r="O496" s="20"/>
      <c r="P496" s="20"/>
      <c r="Q496" s="20"/>
      <c r="R496" s="20"/>
      <c r="S496" s="34">
        <v>0</v>
      </c>
    </row>
  </sheetData>
  <mergeCells count="3">
    <mergeCell ref="D1:G1"/>
    <mergeCell ref="I1:L1"/>
    <mergeCell ref="N1:Q1"/>
  </mergeCells>
  <conditionalFormatting sqref="B1:B496">
    <cfRule type="cellIs" dxfId="38" priority="1" operator="equal">
      <formula>200</formula>
    </cfRule>
    <cfRule type="containsText" dxfId="37" priority="2" operator="containsText" text="30">
      <formula>NOT(ISERROR(SEARCH(("30"),(B1))))</formula>
    </cfRule>
    <cfRule type="cellIs" dxfId="36" priority="3" operator="equal">
      <formula>404</formula>
    </cfRule>
  </conditionalFormatting>
  <conditionalFormatting sqref="S1:S496">
    <cfRule type="colorScale" priority="4">
      <colorScale>
        <cfvo type="min"/>
        <cfvo type="max"/>
        <color rgb="FFFFFFFF"/>
        <color rgb="FF57BB8A"/>
      </colorScale>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O2"/>
  <sheetViews>
    <sheetView topLeftCell="B1" workbookViewId="0">
      <pane ySplit="1" topLeftCell="A2" activePane="bottomLeft" state="frozen"/>
      <selection pane="bottomLeft" activeCell="B3" sqref="B3"/>
    </sheetView>
  </sheetViews>
  <sheetFormatPr defaultColWidth="12.5703125" defaultRowHeight="15.75" customHeight="1" x14ac:dyDescent="0.2"/>
  <cols>
    <col min="4" max="4" width="42.42578125" customWidth="1"/>
    <col min="5" max="5" width="17.28515625" customWidth="1"/>
  </cols>
  <sheetData>
    <row r="1" spans="1:15" ht="15.75" customHeight="1" x14ac:dyDescent="0.4">
      <c r="A1" s="95" t="s">
        <v>1535</v>
      </c>
      <c r="B1" s="95" t="s">
        <v>1536</v>
      </c>
      <c r="C1" s="95" t="s">
        <v>1537</v>
      </c>
      <c r="D1" s="95" t="s">
        <v>1538</v>
      </c>
      <c r="E1" s="95" t="s">
        <v>1539</v>
      </c>
      <c r="F1" s="95" t="s">
        <v>1540</v>
      </c>
      <c r="G1" s="95" t="s">
        <v>1541</v>
      </c>
      <c r="H1" s="95" t="s">
        <v>1542</v>
      </c>
      <c r="I1" s="95" t="s">
        <v>1543</v>
      </c>
      <c r="J1" s="95" t="s">
        <v>1544</v>
      </c>
      <c r="K1" s="95" t="s">
        <v>1545</v>
      </c>
      <c r="L1" s="95" t="s">
        <v>1546</v>
      </c>
      <c r="M1" s="95" t="s">
        <v>1547</v>
      </c>
      <c r="N1" s="95" t="s">
        <v>1548</v>
      </c>
      <c r="O1" s="95" t="s">
        <v>1549</v>
      </c>
    </row>
    <row r="2" spans="1:15" ht="15.75" customHeight="1" x14ac:dyDescent="0.35">
      <c r="A2" s="20"/>
      <c r="B2" s="34"/>
      <c r="C2" s="20"/>
      <c r="D2" s="20"/>
      <c r="E2" s="20"/>
      <c r="F2" s="20"/>
      <c r="G2" s="20"/>
      <c r="H2" s="34"/>
      <c r="I2" s="20"/>
      <c r="J2" s="34"/>
      <c r="K2" s="20"/>
      <c r="L2" s="34"/>
      <c r="M2" s="20"/>
      <c r="N2" s="20"/>
      <c r="O2" s="20"/>
    </row>
  </sheetData>
  <conditionalFormatting sqref="H1:H2 J1:J2 L1:L2 N1:N2">
    <cfRule type="containsText" dxfId="35" priority="1" operator="containsText" text="30">
      <formula>NOT(ISERROR(SEARCH(("30"),(H1))))</formula>
    </cfRule>
    <cfRule type="cellIs" dxfId="34" priority="2" operator="equal">
      <formula>200</formula>
    </cfRule>
    <cfRule type="cellIs" dxfId="33" priority="3" operator="equal">
      <formula>404</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L1374"/>
  <sheetViews>
    <sheetView workbookViewId="0">
      <pane ySplit="2" topLeftCell="A3" activePane="bottomLeft" state="frozen"/>
      <selection pane="bottomLeft" activeCell="A505" sqref="A505"/>
    </sheetView>
  </sheetViews>
  <sheetFormatPr defaultColWidth="12.5703125" defaultRowHeight="15.75" customHeight="1" outlineLevelCol="1" x14ac:dyDescent="0.2"/>
  <cols>
    <col min="1" max="1" width="45.42578125" customWidth="1"/>
    <col min="2" max="2" width="14" customWidth="1"/>
    <col min="8" max="8" width="3.42578125" customWidth="1"/>
    <col min="9" max="9" width="12.5703125" outlineLevel="1"/>
    <col min="10" max="10" width="14.28515625" customWidth="1" outlineLevel="1"/>
    <col min="11" max="12" width="12.5703125" outlineLevel="1"/>
  </cols>
  <sheetData>
    <row r="1" spans="1:12" ht="15.75" customHeight="1" x14ac:dyDescent="0.4">
      <c r="A1" s="96"/>
      <c r="B1" s="95"/>
      <c r="C1" s="95"/>
      <c r="D1" s="95"/>
      <c r="E1" s="95"/>
      <c r="F1" s="95"/>
      <c r="G1" s="95"/>
      <c r="H1" s="95"/>
      <c r="I1" s="281" t="s">
        <v>1550</v>
      </c>
      <c r="J1" s="260"/>
      <c r="K1" s="260"/>
      <c r="L1" s="260"/>
    </row>
    <row r="2" spans="1:12" ht="15.75" customHeight="1" x14ac:dyDescent="0.4">
      <c r="A2" s="96" t="s">
        <v>561</v>
      </c>
      <c r="B2" s="95" t="s">
        <v>1551</v>
      </c>
      <c r="C2" s="95" t="s">
        <v>1552</v>
      </c>
      <c r="D2" s="95" t="s">
        <v>1553</v>
      </c>
      <c r="E2" s="95" t="s">
        <v>1554</v>
      </c>
      <c r="F2" s="95" t="s">
        <v>1555</v>
      </c>
      <c r="G2" s="95" t="s">
        <v>1556</v>
      </c>
      <c r="H2" s="95"/>
      <c r="I2" s="98" t="s">
        <v>1557</v>
      </c>
      <c r="J2" s="98" t="s">
        <v>1558</v>
      </c>
      <c r="K2" s="105" t="s">
        <v>1559</v>
      </c>
      <c r="L2" s="98" t="s">
        <v>1560</v>
      </c>
    </row>
    <row r="3" spans="1:12" ht="15.75" customHeight="1" x14ac:dyDescent="0.35">
      <c r="A3" s="106" t="str">
        <f>HYPERLINK("https://www.examplebusiness.com/","https://www.examplebusiness.com/")</f>
        <v>https://www.examplebusiness.com/</v>
      </c>
      <c r="B3" s="34">
        <v>30</v>
      </c>
      <c r="C3" s="34">
        <v>77</v>
      </c>
      <c r="D3" s="34">
        <v>8</v>
      </c>
      <c r="E3" s="34">
        <v>192</v>
      </c>
      <c r="F3" s="34">
        <v>200</v>
      </c>
      <c r="G3" s="34">
        <v>36</v>
      </c>
      <c r="H3" s="34"/>
      <c r="I3" s="34">
        <v>38</v>
      </c>
      <c r="J3" s="34">
        <v>860</v>
      </c>
      <c r="K3" s="107">
        <v>4.4200000000000003E-2</v>
      </c>
      <c r="L3" s="34">
        <v>38.840000000000003</v>
      </c>
    </row>
    <row r="4" spans="1:12" ht="15.75" customHeight="1" x14ac:dyDescent="0.35">
      <c r="A4" s="298" t="str">
        <f>HYPERLINK("http://www.examplebusiness.com","http://www.examplebusiness.com/")</f>
        <v>http://www.examplebusiness.com/</v>
      </c>
      <c r="B4" s="34">
        <v>19</v>
      </c>
      <c r="C4" s="34">
        <v>29</v>
      </c>
      <c r="D4" s="34">
        <v>14</v>
      </c>
      <c r="E4" s="34">
        <v>17</v>
      </c>
      <c r="F4" s="34">
        <v>301</v>
      </c>
      <c r="G4" s="34">
        <v>0</v>
      </c>
      <c r="H4" s="34"/>
      <c r="I4" s="34" t="s">
        <v>1561</v>
      </c>
      <c r="J4" s="34" t="s">
        <v>1561</v>
      </c>
      <c r="K4" s="107" t="s">
        <v>1561</v>
      </c>
      <c r="L4" s="34" t="s">
        <v>1561</v>
      </c>
    </row>
    <row r="5" spans="1:12" ht="15.75" customHeight="1" x14ac:dyDescent="0.35">
      <c r="A5" s="298" t="str">
        <f>HYPERLINK("http://examplebusiness.com/","http://examplebusiness.com/")</f>
        <v>http://examplebusiness.com/</v>
      </c>
      <c r="B5" s="34">
        <v>14</v>
      </c>
      <c r="C5" s="34">
        <v>47</v>
      </c>
      <c r="D5" s="34">
        <v>2</v>
      </c>
      <c r="E5" s="34">
        <v>49</v>
      </c>
      <c r="F5" s="34">
        <v>301</v>
      </c>
      <c r="G5" s="34">
        <v>0</v>
      </c>
      <c r="H5" s="34"/>
      <c r="I5" s="108" t="s">
        <v>1561</v>
      </c>
      <c r="J5" s="34" t="s">
        <v>1561</v>
      </c>
      <c r="K5" s="107" t="s">
        <v>1561</v>
      </c>
      <c r="L5" s="34" t="s">
        <v>1561</v>
      </c>
    </row>
    <row r="6" spans="1:12" ht="15.75" customHeight="1" x14ac:dyDescent="0.35">
      <c r="A6" s="106" t="str">
        <f>HYPERLINK("https://www.examplebusiness.com/resource-center/lifestyle/the-financial-literacy-crisis","https://www.examplebusiness.com/resource-center/lifestyle/the-financial-literacy-crisis")</f>
        <v>https://www.examplebusiness.com/resource-center/lifestyle/the-financial-literacy-crisis</v>
      </c>
      <c r="B6" s="34">
        <v>13</v>
      </c>
      <c r="C6" s="34">
        <v>19</v>
      </c>
      <c r="D6" s="34">
        <v>0</v>
      </c>
      <c r="E6" s="34">
        <v>19</v>
      </c>
      <c r="F6" s="34">
        <v>200</v>
      </c>
      <c r="G6" s="34">
        <v>2</v>
      </c>
      <c r="H6" s="34"/>
      <c r="I6" s="34">
        <v>0</v>
      </c>
      <c r="J6" s="34">
        <v>8</v>
      </c>
      <c r="K6" s="107">
        <v>0</v>
      </c>
      <c r="L6" s="34">
        <v>19.25</v>
      </c>
    </row>
    <row r="7" spans="1:12" ht="15.75" customHeight="1" x14ac:dyDescent="0.35">
      <c r="A7" s="106" t="str">
        <f>HYPERLINK("https://www.examplebusiness.com/resource-center","https://www.examplebusiness.com/resource-center")</f>
        <v>https://www.examplebusiness.com/resource-center</v>
      </c>
      <c r="B7" s="34">
        <v>10</v>
      </c>
      <c r="C7" s="34">
        <v>2</v>
      </c>
      <c r="D7" s="34">
        <v>0</v>
      </c>
      <c r="E7" s="34">
        <v>1</v>
      </c>
      <c r="F7" s="34">
        <v>200</v>
      </c>
      <c r="G7" s="34">
        <v>0</v>
      </c>
      <c r="H7" s="34"/>
      <c r="I7" s="34">
        <v>0</v>
      </c>
      <c r="J7" s="34">
        <v>25</v>
      </c>
      <c r="K7" s="107">
        <v>0</v>
      </c>
      <c r="L7" s="34">
        <v>4.04</v>
      </c>
    </row>
    <row r="8" spans="1:12" ht="15.75" customHeight="1" x14ac:dyDescent="0.35">
      <c r="A8" s="106" t="str">
        <f>HYPERLINK("https://www.examplebusiness.com/resource-center/estate","https://www.examplebusiness.com/resource-center/estate")</f>
        <v>https://www.examplebusiness.com/resource-center/estate</v>
      </c>
      <c r="B8" s="34">
        <v>10</v>
      </c>
      <c r="C8" s="34">
        <v>4</v>
      </c>
      <c r="D8" s="34">
        <v>0</v>
      </c>
      <c r="E8" s="34">
        <v>2</v>
      </c>
      <c r="F8" s="34">
        <v>200</v>
      </c>
      <c r="G8" s="34">
        <v>0</v>
      </c>
      <c r="H8" s="34"/>
      <c r="I8" s="34">
        <v>0</v>
      </c>
      <c r="J8" s="34">
        <v>3</v>
      </c>
      <c r="K8" s="107">
        <v>0</v>
      </c>
      <c r="L8" s="34">
        <v>27.33</v>
      </c>
    </row>
    <row r="9" spans="1:12" ht="15.75" customHeight="1" x14ac:dyDescent="0.35">
      <c r="A9" s="109" t="str">
        <f>HYPERLINK("https://www.examplebusiness.com/contact/","https://www.examplebusiness.com/contact/")</f>
        <v>https://www.examplebusiness.com/contact/</v>
      </c>
      <c r="B9" s="34">
        <v>10</v>
      </c>
      <c r="C9" s="34">
        <v>7</v>
      </c>
      <c r="D9" s="34">
        <v>0</v>
      </c>
      <c r="E9" s="34">
        <v>10</v>
      </c>
      <c r="F9" s="34">
        <v>200</v>
      </c>
      <c r="G9" s="34">
        <v>0</v>
      </c>
      <c r="H9" s="34"/>
      <c r="I9" s="34" t="s">
        <v>1561</v>
      </c>
      <c r="J9" s="34" t="s">
        <v>1561</v>
      </c>
      <c r="K9" s="107" t="s">
        <v>1561</v>
      </c>
      <c r="L9" s="34" t="s">
        <v>1561</v>
      </c>
    </row>
    <row r="10" spans="1:12" ht="15.75" customHeight="1" x14ac:dyDescent="0.35">
      <c r="A10" s="106" t="str">
        <f>HYPERLINK("https://www.examplebusiness.com/resource-center/investment","https://www.examplebusiness.com/resource-center/investment")</f>
        <v>https://www.examplebusiness.com/resource-center/investment</v>
      </c>
      <c r="B10" s="34">
        <v>9</v>
      </c>
      <c r="C10" s="34">
        <v>5</v>
      </c>
      <c r="D10" s="34">
        <v>1</v>
      </c>
      <c r="E10" s="34">
        <v>4</v>
      </c>
      <c r="F10" s="34">
        <v>200</v>
      </c>
      <c r="G10" s="34">
        <v>16</v>
      </c>
      <c r="H10" s="34"/>
      <c r="I10" s="34">
        <v>3</v>
      </c>
      <c r="J10" s="34">
        <v>98</v>
      </c>
      <c r="K10" s="107">
        <v>3.0599999999999999E-2</v>
      </c>
      <c r="L10" s="34">
        <v>9.08</v>
      </c>
    </row>
    <row r="11" spans="1:12" ht="15.75" customHeight="1" x14ac:dyDescent="0.35">
      <c r="A11" s="106" t="str">
        <f>HYPERLINK("https://www.examplebusiness.com/resource-center/money","https://www.examplebusiness.com/resource-center/money")</f>
        <v>https://www.examplebusiness.com/resource-center/money</v>
      </c>
      <c r="B11" s="34">
        <v>8</v>
      </c>
      <c r="C11" s="34">
        <v>1</v>
      </c>
      <c r="D11" s="34">
        <v>0</v>
      </c>
      <c r="E11" s="34">
        <v>1</v>
      </c>
      <c r="F11" s="34">
        <v>200</v>
      </c>
      <c r="G11" s="34">
        <v>0</v>
      </c>
      <c r="H11" s="34"/>
      <c r="I11" s="34">
        <v>0</v>
      </c>
      <c r="J11" s="34">
        <v>6</v>
      </c>
      <c r="K11" s="107">
        <v>0</v>
      </c>
      <c r="L11" s="34">
        <v>36</v>
      </c>
    </row>
    <row r="12" spans="1:12" ht="15.75" customHeight="1" x14ac:dyDescent="0.35">
      <c r="A12" s="106" t="str">
        <f>HYPERLINK("https://www.examplebusiness.com/resource-center/insurance","https://www.examplebusiness.com/resource-center/insurance")</f>
        <v>https://www.examplebusiness.com/resource-center/insurance</v>
      </c>
      <c r="B12" s="34">
        <v>8</v>
      </c>
      <c r="C12" s="34">
        <v>2</v>
      </c>
      <c r="D12" s="34">
        <v>0</v>
      </c>
      <c r="E12" s="34">
        <v>2</v>
      </c>
      <c r="F12" s="34">
        <v>200</v>
      </c>
      <c r="G12" s="34">
        <v>0</v>
      </c>
      <c r="H12" s="34"/>
      <c r="I12" s="34">
        <v>0</v>
      </c>
      <c r="J12" s="34">
        <v>4</v>
      </c>
      <c r="K12" s="107">
        <v>0</v>
      </c>
      <c r="L12" s="34">
        <v>57.5</v>
      </c>
    </row>
    <row r="13" spans="1:12" ht="15.75" customHeight="1" x14ac:dyDescent="0.35">
      <c r="A13" s="106" t="str">
        <f>HYPERLINK("https://www.examplebusiness.com/meet-the-team","https://www.examplebusiness.com/meet-the-team")</f>
        <v>https://www.examplebusiness.com/meet-the-team</v>
      </c>
      <c r="B13" s="34">
        <v>8</v>
      </c>
      <c r="C13" s="34">
        <v>2</v>
      </c>
      <c r="D13" s="34">
        <v>0</v>
      </c>
      <c r="E13" s="34">
        <v>2</v>
      </c>
      <c r="F13" s="34">
        <v>200</v>
      </c>
      <c r="G13" s="34">
        <v>0</v>
      </c>
      <c r="H13" s="34"/>
      <c r="I13" s="34">
        <v>4</v>
      </c>
      <c r="J13" s="34">
        <v>113</v>
      </c>
      <c r="K13" s="107">
        <v>3.5400000000000001E-2</v>
      </c>
      <c r="L13" s="34">
        <v>8.4</v>
      </c>
    </row>
    <row r="14" spans="1:12" ht="15.75" customHeight="1" x14ac:dyDescent="0.35">
      <c r="A14" s="106" t="str">
        <f>HYPERLINK("https://www.examplebusiness.com/blog","https://www.examplebusiness.com/blog")</f>
        <v>https://www.examplebusiness.com/blog</v>
      </c>
      <c r="B14" s="34">
        <v>7</v>
      </c>
      <c r="C14" s="34">
        <v>0</v>
      </c>
      <c r="D14" s="34">
        <v>0</v>
      </c>
      <c r="E14" s="34">
        <v>0</v>
      </c>
      <c r="F14" s="34">
        <v>200</v>
      </c>
      <c r="G14" s="34">
        <v>0</v>
      </c>
      <c r="I14" s="34">
        <v>0</v>
      </c>
      <c r="J14" s="34">
        <v>37</v>
      </c>
      <c r="K14" s="107">
        <v>0</v>
      </c>
      <c r="L14" s="34">
        <v>17.38</v>
      </c>
    </row>
    <row r="15" spans="1:12" ht="15.75" customHeight="1" x14ac:dyDescent="0.35">
      <c r="A15" s="106" t="str">
        <f>HYPERLINK("https://www.examplebusiness.com/contact","https://www.examplebusiness.com/contact")</f>
        <v>https://www.examplebusiness.com/contact</v>
      </c>
      <c r="B15" s="34">
        <v>7</v>
      </c>
      <c r="C15" s="34">
        <v>0</v>
      </c>
      <c r="D15" s="34">
        <v>0</v>
      </c>
      <c r="E15" s="34">
        <v>0</v>
      </c>
      <c r="F15" s="34">
        <v>200</v>
      </c>
      <c r="G15" s="34">
        <v>0</v>
      </c>
      <c r="I15" s="34">
        <v>0</v>
      </c>
      <c r="J15" s="34">
        <v>60</v>
      </c>
      <c r="K15" s="107">
        <v>0</v>
      </c>
      <c r="L15" s="34">
        <v>3.05</v>
      </c>
    </row>
    <row r="16" spans="1:12" ht="15.75" customHeight="1" x14ac:dyDescent="0.35">
      <c r="A16" s="106" t="str">
        <f>HYPERLINK("https://www.examplebusiness.com/donotsellmypersonalinformation","https://www.examplebusiness.com/donotsellmypersonalinformation")</f>
        <v>https://www.examplebusiness.com/donotsellmypersonalinformation</v>
      </c>
      <c r="B16" s="34">
        <v>7</v>
      </c>
      <c r="C16" s="34">
        <v>0</v>
      </c>
      <c r="D16" s="34">
        <v>0</v>
      </c>
      <c r="E16" s="34">
        <v>0</v>
      </c>
      <c r="F16" s="34">
        <v>200</v>
      </c>
      <c r="G16" s="34">
        <v>0</v>
      </c>
      <c r="I16" s="34" t="s">
        <v>1561</v>
      </c>
      <c r="J16" s="34" t="s">
        <v>1561</v>
      </c>
      <c r="K16" s="107" t="s">
        <v>1561</v>
      </c>
      <c r="L16" s="34" t="s">
        <v>1561</v>
      </c>
    </row>
    <row r="17" spans="1:12" ht="15.75" customHeight="1" x14ac:dyDescent="0.35">
      <c r="A17" s="106" t="str">
        <f>HYPERLINK("https://www.examplebusiness.com/p/business-retirement-plan-consulting","https://www.examplebusiness.com/p/business-retirement-plan-consulting")</f>
        <v>https://www.examplebusiness.com/p/business-retirement-plan-consulting</v>
      </c>
      <c r="B17" s="34">
        <v>7</v>
      </c>
      <c r="C17" s="34">
        <v>0</v>
      </c>
      <c r="D17" s="34">
        <v>0</v>
      </c>
      <c r="E17" s="34">
        <v>0</v>
      </c>
      <c r="F17" s="34">
        <v>200</v>
      </c>
      <c r="G17" s="34">
        <v>0</v>
      </c>
      <c r="I17" s="34">
        <v>0</v>
      </c>
      <c r="J17" s="34">
        <v>63</v>
      </c>
      <c r="K17" s="107">
        <v>0</v>
      </c>
      <c r="L17" s="34">
        <v>63.35</v>
      </c>
    </row>
    <row r="18" spans="1:12" ht="15.75" customHeight="1" x14ac:dyDescent="0.35">
      <c r="A18" s="106" t="str">
        <f>HYPERLINK("https://www.examplebusiness.com/resource-center/calculators","https://www.examplebusiness.com/resource-center/calculators")</f>
        <v>https://www.examplebusiness.com/resource-center/calculators</v>
      </c>
      <c r="B18" s="34">
        <v>7</v>
      </c>
      <c r="C18" s="34">
        <v>0</v>
      </c>
      <c r="D18" s="34">
        <v>0</v>
      </c>
      <c r="E18" s="34">
        <v>0</v>
      </c>
      <c r="F18" s="34">
        <v>200</v>
      </c>
      <c r="G18" s="34">
        <v>0</v>
      </c>
      <c r="I18" s="34" t="s">
        <v>1561</v>
      </c>
      <c r="J18" s="34" t="s">
        <v>1561</v>
      </c>
      <c r="K18" s="107" t="s">
        <v>1561</v>
      </c>
      <c r="L18" s="34" t="s">
        <v>1561</v>
      </c>
    </row>
    <row r="19" spans="1:12" ht="15.75" customHeight="1" x14ac:dyDescent="0.35">
      <c r="A19" s="106" t="str">
        <f>HYPERLINK("https://www.examplebusiness.com/resource-center/lifestyle","https://www.examplebusiness.com/resource-center/lifestyle")</f>
        <v>https://www.examplebusiness.com/resource-center/lifestyle</v>
      </c>
      <c r="B19" s="34">
        <v>7</v>
      </c>
      <c r="C19" s="34">
        <v>0</v>
      </c>
      <c r="D19" s="34">
        <v>0</v>
      </c>
      <c r="E19" s="34">
        <v>0</v>
      </c>
      <c r="F19" s="34">
        <v>200</v>
      </c>
      <c r="G19" s="34">
        <v>0</v>
      </c>
      <c r="H19" s="34"/>
      <c r="I19" s="34">
        <v>0</v>
      </c>
      <c r="J19" s="34">
        <v>7</v>
      </c>
      <c r="K19" s="107">
        <v>0</v>
      </c>
      <c r="L19" s="34">
        <v>57</v>
      </c>
    </row>
    <row r="20" spans="1:12" ht="15.75" customHeight="1" x14ac:dyDescent="0.35">
      <c r="A20" s="106" t="str">
        <f>HYPERLINK("https://www.examplebusiness.com/resource-center/tax","https://www.examplebusiness.com/resource-center/tax")</f>
        <v>https://www.examplebusiness.com/resource-center/tax</v>
      </c>
      <c r="B20" s="34">
        <v>7</v>
      </c>
      <c r="C20" s="34">
        <v>0</v>
      </c>
      <c r="D20" s="34">
        <v>0</v>
      </c>
      <c r="E20" s="34">
        <v>0</v>
      </c>
      <c r="F20" s="34">
        <v>200</v>
      </c>
      <c r="G20" s="34">
        <v>0</v>
      </c>
      <c r="H20" s="34"/>
      <c r="I20" s="34">
        <v>0</v>
      </c>
      <c r="J20" s="34">
        <v>9</v>
      </c>
      <c r="K20" s="107">
        <v>0</v>
      </c>
      <c r="L20" s="34">
        <v>7.56</v>
      </c>
    </row>
    <row r="21" spans="1:12" ht="15.75" customHeight="1" x14ac:dyDescent="0.35">
      <c r="A21" s="106" t="str">
        <f>HYPERLINK("https://www.examplebusiness.com/p/webinars","https://www.examplebusiness.com/p/webinars")</f>
        <v>https://www.examplebusiness.com/p/webinars</v>
      </c>
      <c r="B21" s="34">
        <v>7</v>
      </c>
      <c r="C21" s="34">
        <v>0</v>
      </c>
      <c r="D21" s="34">
        <v>0</v>
      </c>
      <c r="E21" s="34">
        <v>0</v>
      </c>
      <c r="F21" s="34">
        <v>200</v>
      </c>
      <c r="G21" s="34">
        <v>0</v>
      </c>
      <c r="H21" s="34"/>
      <c r="I21" s="34">
        <v>1</v>
      </c>
      <c r="J21" s="34">
        <v>2</v>
      </c>
      <c r="K21" s="107">
        <v>0.5</v>
      </c>
      <c r="L21" s="34">
        <v>61</v>
      </c>
    </row>
    <row r="22" spans="1:12" ht="15.75" customHeight="1" x14ac:dyDescent="0.35">
      <c r="A22" s="106" t="str">
        <f>HYPERLINK("https://www.examplebusiness.com/resource-center/presentations","https://www.examplebusiness.com/resource-center/presentations")</f>
        <v>https://www.examplebusiness.com/resource-center/presentations</v>
      </c>
      <c r="B22" s="34">
        <v>7</v>
      </c>
      <c r="C22" s="34">
        <v>0</v>
      </c>
      <c r="D22" s="34">
        <v>0</v>
      </c>
      <c r="E22" s="34">
        <v>0</v>
      </c>
      <c r="F22" s="34">
        <v>200</v>
      </c>
      <c r="G22" s="34">
        <v>0</v>
      </c>
      <c r="H22" s="34"/>
      <c r="I22" s="34">
        <v>0</v>
      </c>
      <c r="J22" s="34">
        <v>12</v>
      </c>
      <c r="K22" s="107">
        <v>0</v>
      </c>
      <c r="L22" s="34">
        <v>3.5</v>
      </c>
    </row>
    <row r="23" spans="1:12" ht="15.75" customHeight="1" x14ac:dyDescent="0.35">
      <c r="A23" s="106" t="str">
        <f>HYPERLINK("https://www.examplebusiness.com/resource-center/retirement","https://www.examplebusiness.com/resource-center/retirement")</f>
        <v>https://www.examplebusiness.com/resource-center/retirement</v>
      </c>
      <c r="B23" s="34">
        <v>7</v>
      </c>
      <c r="C23" s="34">
        <v>0</v>
      </c>
      <c r="D23" s="34">
        <v>0</v>
      </c>
      <c r="E23" s="34">
        <v>0</v>
      </c>
      <c r="F23" s="34">
        <v>200</v>
      </c>
      <c r="G23" s="34">
        <v>3</v>
      </c>
      <c r="H23" s="34"/>
      <c r="I23" s="34">
        <v>0</v>
      </c>
      <c r="J23" s="34">
        <v>15</v>
      </c>
      <c r="K23" s="107">
        <v>0</v>
      </c>
      <c r="L23" s="34">
        <v>2.13</v>
      </c>
    </row>
    <row r="24" spans="1:12" ht="15.75" customHeight="1" x14ac:dyDescent="0.35">
      <c r="A24" s="106" t="str">
        <f>HYPERLINK("https://www.examplebusiness.com/resource-center/videos","https://www.examplebusiness.com/resource-center/videos")</f>
        <v>https://www.examplebusiness.com/resource-center/videos</v>
      </c>
      <c r="B24" s="34">
        <v>7</v>
      </c>
      <c r="C24" s="34">
        <v>0</v>
      </c>
      <c r="D24" s="34">
        <v>0</v>
      </c>
      <c r="E24" s="34">
        <v>0</v>
      </c>
      <c r="F24" s="34">
        <v>200</v>
      </c>
      <c r="G24" s="34">
        <v>0</v>
      </c>
      <c r="H24" s="34"/>
      <c r="I24" s="34" t="s">
        <v>1561</v>
      </c>
      <c r="J24" s="34" t="s">
        <v>1561</v>
      </c>
      <c r="K24" s="107" t="s">
        <v>1561</v>
      </c>
      <c r="L24" s="34" t="s">
        <v>1561</v>
      </c>
    </row>
    <row r="25" spans="1:12" ht="16.5" x14ac:dyDescent="0.35">
      <c r="A25" s="106" t="str">
        <f>HYPERLINK("https://www.examplebusiness.com/resource-center/articles","https://www.examplebusiness.com/resource-center/articles")</f>
        <v>https://www.examplebusiness.com/resource-center/articles</v>
      </c>
      <c r="B25" s="34">
        <v>7</v>
      </c>
      <c r="C25" s="34">
        <v>0</v>
      </c>
      <c r="D25" s="34">
        <v>0</v>
      </c>
      <c r="E25" s="34">
        <v>0</v>
      </c>
      <c r="F25" s="34">
        <v>200</v>
      </c>
      <c r="G25" s="34">
        <v>0</v>
      </c>
      <c r="H25" s="34"/>
      <c r="I25" s="34">
        <v>0</v>
      </c>
      <c r="J25" s="34">
        <v>5</v>
      </c>
      <c r="K25" s="107">
        <v>0</v>
      </c>
      <c r="L25" s="34">
        <v>48</v>
      </c>
    </row>
    <row r="26" spans="1:12" ht="16.5" x14ac:dyDescent="0.35">
      <c r="A26" s="106" t="str">
        <f>HYPERLINK("https://www.examplebusiness.com/p/client-community","https://www.examplebusiness.com/p/client-community")</f>
        <v>https://www.examplebusiness.com/p/client-community</v>
      </c>
      <c r="B26" s="34">
        <v>7</v>
      </c>
      <c r="C26" s="34">
        <v>0</v>
      </c>
      <c r="D26" s="34">
        <v>0</v>
      </c>
      <c r="E26" s="34">
        <v>0</v>
      </c>
      <c r="F26" s="34">
        <v>200</v>
      </c>
      <c r="G26" s="34">
        <v>0</v>
      </c>
      <c r="H26" s="34"/>
      <c r="I26" s="34">
        <v>0</v>
      </c>
      <c r="J26" s="34">
        <v>11</v>
      </c>
      <c r="K26" s="107">
        <v>0</v>
      </c>
      <c r="L26" s="34">
        <v>56.27</v>
      </c>
    </row>
    <row r="27" spans="1:12" ht="16.5" x14ac:dyDescent="0.35">
      <c r="A27" s="106" t="str">
        <f>HYPERLINK("https://www.examplebusiness.com/blog/ira-vs-401k-what-savers-should-know","https://www.examplebusiness.com/blog/ira-vs-401k-what-savers-should-know")</f>
        <v>https://www.examplebusiness.com/blog/ira-vs-401k-what-savers-should-know</v>
      </c>
      <c r="B27" s="34">
        <v>7</v>
      </c>
      <c r="C27" s="34">
        <v>2</v>
      </c>
      <c r="D27" s="34">
        <v>1</v>
      </c>
      <c r="E27" s="34">
        <v>1</v>
      </c>
      <c r="F27" s="34">
        <v>200</v>
      </c>
      <c r="G27" s="34">
        <v>0</v>
      </c>
      <c r="H27" s="34"/>
      <c r="I27" s="34">
        <v>0</v>
      </c>
      <c r="J27" s="34">
        <v>7</v>
      </c>
      <c r="K27" s="107">
        <v>0</v>
      </c>
      <c r="L27" s="34">
        <v>42</v>
      </c>
    </row>
    <row r="28" spans="1:12" ht="16.5" x14ac:dyDescent="0.35">
      <c r="A28" s="106" t="str">
        <f>HYPERLINK("https://www.examplebusiness.com/resource-center/investment/5-smart-investing-strategies","https://www.examplebusiness.com/resource-center/investment/5-smart-investing-strategies")</f>
        <v>https://www.examplebusiness.com/resource-center/investment/5-smart-investing-strategies</v>
      </c>
      <c r="B28" s="34">
        <v>7</v>
      </c>
      <c r="C28" s="34">
        <v>1</v>
      </c>
      <c r="D28" s="34">
        <v>0</v>
      </c>
      <c r="E28" s="34">
        <v>1</v>
      </c>
      <c r="F28" s="34">
        <v>200</v>
      </c>
      <c r="G28" s="34">
        <v>0</v>
      </c>
      <c r="H28" s="34"/>
      <c r="I28" s="34" t="s">
        <v>1561</v>
      </c>
      <c r="J28" s="34" t="s">
        <v>1561</v>
      </c>
      <c r="K28" s="107" t="s">
        <v>1561</v>
      </c>
      <c r="L28" s="34" t="s">
        <v>1561</v>
      </c>
    </row>
    <row r="29" spans="1:12" ht="16.5" x14ac:dyDescent="0.35">
      <c r="A29" s="110" t="str">
        <f>HYPERLINK("https://www.examplebusiness.com/about-us","https://www.examplebusiness.com/about-us")</f>
        <v>https://www.examplebusiness.com/about-us</v>
      </c>
      <c r="B29" s="34">
        <v>7</v>
      </c>
      <c r="C29" s="34">
        <v>0</v>
      </c>
      <c r="D29" s="34">
        <v>0</v>
      </c>
      <c r="E29" s="34">
        <v>0</v>
      </c>
      <c r="F29" s="34">
        <v>200</v>
      </c>
      <c r="G29" s="34">
        <v>0</v>
      </c>
      <c r="H29" s="34"/>
      <c r="I29" s="34" t="s">
        <v>1561</v>
      </c>
      <c r="J29" s="34" t="s">
        <v>1561</v>
      </c>
      <c r="K29" s="107" t="s">
        <v>1561</v>
      </c>
      <c r="L29" s="34" t="s">
        <v>1561</v>
      </c>
    </row>
    <row r="30" spans="1:12" ht="16.5" x14ac:dyDescent="0.35">
      <c r="A30" s="110" t="str">
        <f>HYPERLINK("https://www.examplebusiness.com/p/financial-planning","https://www.examplebusiness.com/p/financial-planning")</f>
        <v>https://www.examplebusiness.com/p/financial-planning</v>
      </c>
      <c r="B30" s="34">
        <v>7</v>
      </c>
      <c r="C30" s="34">
        <v>0</v>
      </c>
      <c r="D30" s="34">
        <v>0</v>
      </c>
      <c r="E30" s="34">
        <v>0</v>
      </c>
      <c r="F30" s="34">
        <v>302</v>
      </c>
      <c r="G30" s="34">
        <v>0</v>
      </c>
      <c r="H30" s="34"/>
      <c r="I30" s="34" t="s">
        <v>1561</v>
      </c>
      <c r="J30" s="34" t="s">
        <v>1561</v>
      </c>
      <c r="K30" s="107" t="s">
        <v>1561</v>
      </c>
      <c r="L30" s="34" t="s">
        <v>1561</v>
      </c>
    </row>
    <row r="31" spans="1:12" ht="16.5" x14ac:dyDescent="0.35">
      <c r="A31" s="110" t="str">
        <f>HYPERLINK("https://www.examplebusiness.com/p/for-individuals","https://www.examplebusiness.com/p/for-individuals")</f>
        <v>https://www.examplebusiness.com/p/for-individuals</v>
      </c>
      <c r="B31" s="34">
        <v>7</v>
      </c>
      <c r="C31" s="34">
        <v>1</v>
      </c>
      <c r="D31" s="34">
        <v>0</v>
      </c>
      <c r="E31" s="34">
        <v>1</v>
      </c>
      <c r="F31" s="34">
        <v>200</v>
      </c>
      <c r="G31" s="34">
        <v>0</v>
      </c>
      <c r="H31" s="34"/>
      <c r="I31" s="34">
        <v>9</v>
      </c>
      <c r="J31" s="34">
        <v>87</v>
      </c>
      <c r="K31" s="107">
        <v>0.10340000000000001</v>
      </c>
      <c r="L31" s="34">
        <v>2.56</v>
      </c>
    </row>
    <row r="32" spans="1:12" ht="16.5" x14ac:dyDescent="0.35">
      <c r="A32" s="110" t="str">
        <f>HYPERLINK("https://www.examplebusiness.com/p/investment-management","https://www.examplebusiness.com/p/investment-management")</f>
        <v>https://www.examplebusiness.com/p/investment-management</v>
      </c>
      <c r="B32" s="34">
        <v>7</v>
      </c>
      <c r="C32" s="34">
        <v>0</v>
      </c>
      <c r="D32" s="34">
        <v>0</v>
      </c>
      <c r="E32" s="34">
        <v>0</v>
      </c>
      <c r="F32" s="34">
        <v>200</v>
      </c>
      <c r="G32" s="34">
        <v>0</v>
      </c>
      <c r="H32" s="34"/>
      <c r="I32" s="34">
        <v>0</v>
      </c>
      <c r="J32" s="34">
        <v>1</v>
      </c>
      <c r="K32" s="107">
        <v>0</v>
      </c>
      <c r="L32" s="34">
        <v>18</v>
      </c>
    </row>
    <row r="33" spans="1:12" ht="16.5" x14ac:dyDescent="0.35">
      <c r="A33" s="110" t="str">
        <f>HYPERLINK("https://www.examplebusiness.com/p/minneapolis-retirement-planning-firm","https://www.examplebusiness.com/p/minneapolis-retirement-planning-firm")</f>
        <v>https://www.examplebusiness.com/p/minneapolis-retirement-planning-firm</v>
      </c>
      <c r="B33" s="34">
        <v>7</v>
      </c>
      <c r="C33" s="34">
        <v>0</v>
      </c>
      <c r="D33" s="34">
        <v>0</v>
      </c>
      <c r="E33" s="34">
        <v>0</v>
      </c>
      <c r="F33" s="34">
        <v>302</v>
      </c>
      <c r="G33" s="34">
        <v>0</v>
      </c>
      <c r="H33" s="34"/>
      <c r="I33" s="34" t="s">
        <v>1561</v>
      </c>
      <c r="J33" s="34" t="s">
        <v>1561</v>
      </c>
      <c r="K33" s="107" t="s">
        <v>1561</v>
      </c>
      <c r="L33" s="34" t="s">
        <v>1561</v>
      </c>
    </row>
    <row r="34" spans="1:12" ht="16.5" x14ac:dyDescent="0.35">
      <c r="A34" s="109" t="str">
        <f>HYPERLINK("https://www.examplebusiness.com/tax-planning-strategies","https://www.examplebusiness.com/tax-planning-strategies")</f>
        <v>https://www.examplebusiness.com/tax-planning-strategies</v>
      </c>
      <c r="B34" s="34">
        <v>7</v>
      </c>
      <c r="C34" s="34">
        <v>0</v>
      </c>
      <c r="D34" s="34">
        <v>0</v>
      </c>
      <c r="E34" s="34">
        <v>0</v>
      </c>
      <c r="F34" s="34">
        <v>200</v>
      </c>
      <c r="G34" s="34">
        <v>0</v>
      </c>
      <c r="H34" s="34"/>
      <c r="I34" s="34">
        <v>0</v>
      </c>
      <c r="J34" s="34">
        <v>216</v>
      </c>
      <c r="K34" s="107">
        <v>0</v>
      </c>
      <c r="L34" s="34">
        <v>71.13</v>
      </c>
    </row>
    <row r="35" spans="1:12" ht="16.5" x14ac:dyDescent="0.35">
      <c r="A35" s="109" t="str">
        <f>HYPERLINK("https://www.examplebusiness.com/about-us/","https://www.examplebusiness.com/about-us/")</f>
        <v>https://www.examplebusiness.com/about-us/</v>
      </c>
      <c r="B35" s="34">
        <v>7</v>
      </c>
      <c r="C35" s="34">
        <v>4</v>
      </c>
      <c r="D35" s="34">
        <v>0</v>
      </c>
      <c r="E35" s="34">
        <v>4</v>
      </c>
      <c r="F35" s="34">
        <v>200</v>
      </c>
      <c r="G35" s="34">
        <v>0</v>
      </c>
      <c r="H35" s="34"/>
      <c r="I35" s="34" t="s">
        <v>1561</v>
      </c>
      <c r="J35" s="34" t="s">
        <v>1561</v>
      </c>
      <c r="K35" s="107" t="s">
        <v>1561</v>
      </c>
      <c r="L35" s="34" t="s">
        <v>1561</v>
      </c>
    </row>
    <row r="36" spans="1:12" ht="16.5" x14ac:dyDescent="0.35">
      <c r="A36" s="109" t="str">
        <f>HYPERLINK("https://www.examplebusiness.com/events","https://www.examplebusiness.com/events")</f>
        <v>https://www.examplebusiness.com/events</v>
      </c>
      <c r="B36" s="34">
        <v>7</v>
      </c>
      <c r="C36" s="34">
        <v>0</v>
      </c>
      <c r="D36" s="34">
        <v>0</v>
      </c>
      <c r="E36" s="34">
        <v>0</v>
      </c>
      <c r="F36" s="34">
        <v>200</v>
      </c>
      <c r="G36" s="34">
        <v>0</v>
      </c>
      <c r="H36" s="34"/>
      <c r="I36" s="34">
        <v>0</v>
      </c>
      <c r="J36" s="34">
        <v>2</v>
      </c>
      <c r="K36" s="107">
        <v>0</v>
      </c>
      <c r="L36" s="34">
        <v>1</v>
      </c>
    </row>
    <row r="37" spans="1:12" ht="16.5" x14ac:dyDescent="0.35">
      <c r="A37" s="109" t="str">
        <f>HYPERLINK("https://www.examplebusiness.com/lpl-research-kf26a","https://www.examplebusiness.com/lpl-research-kf26a")</f>
        <v>https://www.examplebusiness.com/lpl-research-kf26a</v>
      </c>
      <c r="B37" s="34">
        <v>7</v>
      </c>
      <c r="C37" s="34">
        <v>0</v>
      </c>
      <c r="D37" s="34">
        <v>0</v>
      </c>
      <c r="E37" s="34">
        <v>0</v>
      </c>
      <c r="F37" s="34">
        <v>200</v>
      </c>
      <c r="G37" s="34">
        <v>0</v>
      </c>
      <c r="H37" s="34"/>
      <c r="I37" s="34" t="s">
        <v>1561</v>
      </c>
      <c r="J37" s="34" t="s">
        <v>1561</v>
      </c>
      <c r="K37" s="107" t="s">
        <v>1561</v>
      </c>
      <c r="L37" s="34" t="s">
        <v>1561</v>
      </c>
    </row>
    <row r="38" spans="1:12" ht="16.5" x14ac:dyDescent="0.35">
      <c r="A38" s="106" t="str">
        <f>HYPERLINK("https://www.examplebusiness.com/resource-center/insurance/protecting-those-who-matter-most","https://www.examplebusiness.com/resource-center/insurance/protecting-those-who-matter-most")</f>
        <v>https://www.examplebusiness.com/resource-center/insurance/protecting-those-who-matter-most</v>
      </c>
      <c r="B38" s="34">
        <v>6</v>
      </c>
      <c r="C38" s="34">
        <v>0</v>
      </c>
      <c r="D38" s="34">
        <v>0</v>
      </c>
      <c r="E38" s="34">
        <v>0</v>
      </c>
      <c r="F38" s="34">
        <v>200</v>
      </c>
      <c r="G38" s="34">
        <v>0</v>
      </c>
      <c r="H38" s="34"/>
      <c r="I38" s="34">
        <v>0</v>
      </c>
      <c r="J38" s="34">
        <v>8</v>
      </c>
      <c r="K38" s="107">
        <v>0</v>
      </c>
      <c r="L38" s="34">
        <v>22.5</v>
      </c>
    </row>
    <row r="39" spans="1:12" ht="16.5" x14ac:dyDescent="0.35">
      <c r="A39" s="106" t="str">
        <f>HYPERLINK("https://www.examplebusiness.com/team/kirsten-davidson","https://www.examplebusiness.com/team/kirsten-davidson")</f>
        <v>https://www.examplebusiness.com/team/kirsten-davidson</v>
      </c>
      <c r="B39" s="34">
        <v>6</v>
      </c>
      <c r="C39" s="34">
        <v>1</v>
      </c>
      <c r="D39" s="34">
        <v>0</v>
      </c>
      <c r="E39" s="34">
        <v>1</v>
      </c>
      <c r="F39" s="34">
        <v>200</v>
      </c>
      <c r="G39" s="34">
        <v>1</v>
      </c>
      <c r="H39" s="34"/>
      <c r="I39" s="34">
        <v>0</v>
      </c>
      <c r="J39" s="34">
        <v>3</v>
      </c>
      <c r="K39" s="107">
        <v>0</v>
      </c>
      <c r="L39" s="34">
        <v>35</v>
      </c>
    </row>
    <row r="40" spans="1:12" ht="16.5" x14ac:dyDescent="0.35">
      <c r="A40" s="110" t="str">
        <f>HYPERLINK("https://www.examplebusiness.com/about","https://www.examplebusiness.com/about")</f>
        <v>https://www.examplebusiness.com/about</v>
      </c>
      <c r="B40" s="34">
        <v>6</v>
      </c>
      <c r="C40" s="34">
        <v>2</v>
      </c>
      <c r="D40" s="34">
        <v>0</v>
      </c>
      <c r="E40" s="34">
        <v>2</v>
      </c>
      <c r="F40" s="34">
        <v>200</v>
      </c>
      <c r="G40" s="34">
        <v>0</v>
      </c>
      <c r="H40" s="34"/>
      <c r="I40" s="34">
        <v>0</v>
      </c>
      <c r="J40" s="34">
        <v>62</v>
      </c>
      <c r="K40" s="107">
        <v>0</v>
      </c>
      <c r="L40" s="34">
        <v>2.98</v>
      </c>
    </row>
    <row r="41" spans="1:12" ht="16.5" x14ac:dyDescent="0.35">
      <c r="A41" s="109" t="str">
        <f>HYPERLINK("http://www.examplebusiness.comresource-center/investment","http://www.examplebusiness.comresource-center/investment")</f>
        <v>http://www.examplebusiness.comresource-center/investment</v>
      </c>
      <c r="B41" s="34">
        <v>6</v>
      </c>
      <c r="C41" s="34">
        <v>2</v>
      </c>
      <c r="D41" s="34">
        <v>1</v>
      </c>
      <c r="E41" s="34">
        <v>1</v>
      </c>
      <c r="F41" s="34">
        <v>301</v>
      </c>
      <c r="G41" s="34">
        <v>0</v>
      </c>
      <c r="H41" s="34"/>
      <c r="I41" s="34" t="s">
        <v>1561</v>
      </c>
      <c r="J41" s="34" t="s">
        <v>1561</v>
      </c>
      <c r="K41" s="107" t="s">
        <v>1561</v>
      </c>
      <c r="L41" s="34" t="s">
        <v>1561</v>
      </c>
    </row>
    <row r="42" spans="1:12" ht="16.5" x14ac:dyDescent="0.35">
      <c r="A42" s="109" t="str">
        <f>HYPERLINK("https://www.examplebusiness.com/blog/","https://www.examplebusiness.com/blog/")</f>
        <v>https://www.examplebusiness.com/blog/</v>
      </c>
      <c r="B42" s="34">
        <v>6</v>
      </c>
      <c r="C42" s="34">
        <v>2</v>
      </c>
      <c r="D42" s="34">
        <v>0</v>
      </c>
      <c r="E42" s="34">
        <v>2</v>
      </c>
      <c r="F42" s="34">
        <v>200</v>
      </c>
      <c r="G42" s="34">
        <v>0</v>
      </c>
      <c r="H42" s="34"/>
      <c r="I42" s="34" t="s">
        <v>1561</v>
      </c>
      <c r="J42" s="34" t="s">
        <v>1561</v>
      </c>
      <c r="K42" s="107" t="s">
        <v>1561</v>
      </c>
      <c r="L42" s="34" t="s">
        <v>1561</v>
      </c>
    </row>
    <row r="43" spans="1:12" ht="16.5" x14ac:dyDescent="0.35">
      <c r="A43" s="109" t="str">
        <f>HYPERLINK("https://www.examplebusiness.com/?ref=localdatabase","https://www.examplebusiness.com/?ref=localdatabase")</f>
        <v>https://www.examplebusiness.com/?ref=localdatabase</v>
      </c>
      <c r="B43" s="34">
        <v>6</v>
      </c>
      <c r="C43" s="34">
        <v>1</v>
      </c>
      <c r="D43" s="34">
        <v>0</v>
      </c>
      <c r="E43" s="34">
        <v>1</v>
      </c>
      <c r="F43" s="34">
        <v>200</v>
      </c>
      <c r="G43" s="34">
        <v>0</v>
      </c>
      <c r="H43" s="34"/>
      <c r="I43" s="34" t="s">
        <v>1561</v>
      </c>
      <c r="J43" s="34" t="s">
        <v>1561</v>
      </c>
      <c r="K43" s="107" t="s">
        <v>1561</v>
      </c>
      <c r="L43" s="34" t="s">
        <v>1561</v>
      </c>
    </row>
    <row r="44" spans="1:12" ht="16.5" x14ac:dyDescent="0.35">
      <c r="A44" s="106" t="str">
        <f>HYPERLINK("https://www.examplebusiness.com/resource-center/lifestyle/please-leave-home-without-it","https://www.examplebusiness.com/resource-center/lifestyle/please-leave-home-without-it")</f>
        <v>https://www.examplebusiness.com/resource-center/lifestyle/please-leave-home-without-it</v>
      </c>
      <c r="B44" s="34">
        <v>5</v>
      </c>
      <c r="C44" s="34">
        <v>0</v>
      </c>
      <c r="D44" s="34">
        <v>0</v>
      </c>
      <c r="E44" s="34">
        <v>0</v>
      </c>
      <c r="F44" s="34">
        <v>200</v>
      </c>
      <c r="G44" s="34">
        <v>0</v>
      </c>
      <c r="H44" s="34"/>
      <c r="I44" s="34" t="s">
        <v>1561</v>
      </c>
      <c r="J44" s="34" t="s">
        <v>1561</v>
      </c>
      <c r="K44" s="107" t="s">
        <v>1561</v>
      </c>
      <c r="L44" s="34" t="s">
        <v>1561</v>
      </c>
    </row>
    <row r="45" spans="1:12" ht="16.5" x14ac:dyDescent="0.35">
      <c r="A45" s="106" t="str">
        <f>HYPERLINK("https://www.examplebusiness.com/resource-center/investment/inflation-and-your-money","https://www.examplebusiness.com/resource-center/investment/inflation-and-your-money")</f>
        <v>https://www.examplebusiness.com/resource-center/investment/inflation-and-your-money</v>
      </c>
      <c r="B45" s="34">
        <v>5</v>
      </c>
      <c r="C45" s="34">
        <v>0</v>
      </c>
      <c r="D45" s="34">
        <v>0</v>
      </c>
      <c r="E45" s="34">
        <v>0</v>
      </c>
      <c r="F45" s="34">
        <v>200</v>
      </c>
      <c r="G45" s="34">
        <v>0</v>
      </c>
      <c r="H45" s="34"/>
      <c r="I45" s="34" t="s">
        <v>1561</v>
      </c>
      <c r="J45" s="34" t="s">
        <v>1561</v>
      </c>
      <c r="K45" s="107" t="s">
        <v>1561</v>
      </c>
      <c r="L45" s="34" t="s">
        <v>1561</v>
      </c>
    </row>
    <row r="46" spans="1:12" ht="16.5" x14ac:dyDescent="0.35">
      <c r="A46" s="106" t="str">
        <f>HYPERLINK("https://www.examplebusiness.com/resource-center/estate/when-special-care-is-needed-the-special-needs-trust","https://www.examplebusiness.com/resource-center/estate/when-special-care-is-needed-the-special-needs-trust")</f>
        <v>https://www.examplebusiness.com/resource-center/estate/when-special-care-is-needed-the-special-needs-trust</v>
      </c>
      <c r="B46" s="34">
        <v>5</v>
      </c>
      <c r="C46" s="34">
        <v>0</v>
      </c>
      <c r="D46" s="34">
        <v>0</v>
      </c>
      <c r="E46" s="34">
        <v>0</v>
      </c>
      <c r="F46" s="34">
        <v>200</v>
      </c>
      <c r="G46" s="34">
        <v>0</v>
      </c>
      <c r="H46" s="34"/>
      <c r="I46" s="34" t="s">
        <v>1561</v>
      </c>
      <c r="J46" s="34" t="s">
        <v>1561</v>
      </c>
      <c r="K46" s="107" t="s">
        <v>1561</v>
      </c>
      <c r="L46" s="34" t="s">
        <v>1561</v>
      </c>
    </row>
    <row r="47" spans="1:12" ht="16.5" x14ac:dyDescent="0.35">
      <c r="A47" s="106" t="str">
        <f>HYPERLINK("https://www.examplebusiness.com/resource-center/lifestyle/should-i-buy-or-lease-an-auto","https://www.examplebusiness.com/resource-center/lifestyle/should-i-buy-or-lease-an-auto")</f>
        <v>https://www.examplebusiness.com/resource-center/lifestyle/should-i-buy-or-lease-an-auto</v>
      </c>
      <c r="B47" s="34">
        <v>5</v>
      </c>
      <c r="C47" s="34">
        <v>0</v>
      </c>
      <c r="D47" s="34">
        <v>0</v>
      </c>
      <c r="E47" s="34">
        <v>0</v>
      </c>
      <c r="F47" s="34">
        <v>200</v>
      </c>
      <c r="G47" s="34">
        <v>0</v>
      </c>
      <c r="H47" s="34"/>
      <c r="I47" s="34" t="s">
        <v>1561</v>
      </c>
      <c r="J47" s="34" t="s">
        <v>1561</v>
      </c>
      <c r="K47" s="107" t="s">
        <v>1561</v>
      </c>
      <c r="L47" s="34" t="s">
        <v>1561</v>
      </c>
    </row>
    <row r="48" spans="1:12" ht="16.5" x14ac:dyDescent="0.35">
      <c r="A48" s="106" t="str">
        <f>HYPERLINK("https://www.examplebusiness.com/resource-center/tax/dirty-dozen-tax-scams-to-watch-for","https://www.examplebusiness.com/resource-center/tax/dirty-dozen-tax-scams-to-watch-for")</f>
        <v>https://www.examplebusiness.com/resource-center/tax/dirty-dozen-tax-scams-to-watch-for</v>
      </c>
      <c r="B48" s="34">
        <v>5</v>
      </c>
      <c r="C48" s="34">
        <v>0</v>
      </c>
      <c r="D48" s="34">
        <v>0</v>
      </c>
      <c r="E48" s="34">
        <v>0</v>
      </c>
      <c r="F48" s="34">
        <v>200</v>
      </c>
      <c r="G48" s="34">
        <v>0</v>
      </c>
      <c r="H48" s="34"/>
      <c r="I48" s="34" t="s">
        <v>1561</v>
      </c>
      <c r="J48" s="34" t="s">
        <v>1561</v>
      </c>
      <c r="K48" s="107" t="s">
        <v>1561</v>
      </c>
      <c r="L48" s="34" t="s">
        <v>1561</v>
      </c>
    </row>
    <row r="49" spans="1:12" ht="16.5" x14ac:dyDescent="0.35">
      <c r="A49" s="106" t="str">
        <f>HYPERLINK("https://www.examplebusiness.com/resource-center/tax/red-flags-for-tax-auditors","https://www.examplebusiness.com/resource-center/tax/red-flags-for-tax-auditors")</f>
        <v>https://www.examplebusiness.com/resource-center/tax/red-flags-for-tax-auditors</v>
      </c>
      <c r="B49" s="34">
        <v>5</v>
      </c>
      <c r="C49" s="34">
        <v>0</v>
      </c>
      <c r="D49" s="34">
        <v>0</v>
      </c>
      <c r="E49" s="34">
        <v>0</v>
      </c>
      <c r="F49" s="34">
        <v>200</v>
      </c>
      <c r="G49" s="34">
        <v>0</v>
      </c>
      <c r="H49" s="34"/>
      <c r="I49" s="34" t="s">
        <v>1561</v>
      </c>
      <c r="J49" s="34" t="s">
        <v>1561</v>
      </c>
      <c r="K49" s="107" t="s">
        <v>1561</v>
      </c>
      <c r="L49" s="34" t="s">
        <v>1561</v>
      </c>
    </row>
    <row r="50" spans="1:12" ht="16.5" x14ac:dyDescent="0.35">
      <c r="A50" s="106" t="str">
        <f>HYPERLINK("https://www.examplebusiness.com/resource-center/insurance/your-dna-test","https://www.examplebusiness.com/resource-center/insurance/your-dna-test")</f>
        <v>https://www.examplebusiness.com/resource-center/insurance/your-dna-test</v>
      </c>
      <c r="B50" s="34">
        <v>5</v>
      </c>
      <c r="C50" s="34">
        <v>0</v>
      </c>
      <c r="D50" s="34">
        <v>0</v>
      </c>
      <c r="E50" s="34">
        <v>0</v>
      </c>
      <c r="F50" s="34">
        <v>200</v>
      </c>
      <c r="G50" s="34">
        <v>0</v>
      </c>
      <c r="H50" s="34"/>
      <c r="I50" s="34" t="s">
        <v>1561</v>
      </c>
      <c r="J50" s="34" t="s">
        <v>1561</v>
      </c>
      <c r="K50" s="107" t="s">
        <v>1561</v>
      </c>
      <c r="L50" s="34" t="s">
        <v>1561</v>
      </c>
    </row>
    <row r="51" spans="1:12" ht="16.5" x14ac:dyDescent="0.35">
      <c r="A51" s="106" t="str">
        <f>HYPERLINK("https://www.examplebusiness.com/resource-center/investment/what-is-the-dividend-yield","https://www.examplebusiness.com/resource-center/investment/what-is-the-dividend-yield")</f>
        <v>https://www.examplebusiness.com/resource-center/investment/what-is-the-dividend-yield</v>
      </c>
      <c r="B51" s="34">
        <v>5</v>
      </c>
      <c r="C51" s="34">
        <v>0</v>
      </c>
      <c r="D51" s="34">
        <v>0</v>
      </c>
      <c r="E51" s="34">
        <v>0</v>
      </c>
      <c r="F51" s="34">
        <v>200</v>
      </c>
      <c r="G51" s="34">
        <v>0</v>
      </c>
      <c r="H51" s="34"/>
      <c r="I51" s="34">
        <v>0</v>
      </c>
      <c r="J51" s="34">
        <v>17</v>
      </c>
      <c r="K51" s="107">
        <v>0</v>
      </c>
      <c r="L51" s="34">
        <v>70.88</v>
      </c>
    </row>
    <row r="52" spans="1:12" ht="16.5" x14ac:dyDescent="0.35">
      <c r="A52" s="106" t="str">
        <f>HYPERLINK("https://www.examplebusiness.com/resource-center/retirement/volunteering-in-retirement","https://www.examplebusiness.com/resource-center/retirement/volunteering-in-retirement")</f>
        <v>https://www.examplebusiness.com/resource-center/retirement/volunteering-in-retirement</v>
      </c>
      <c r="B52" s="34">
        <v>5</v>
      </c>
      <c r="C52" s="34">
        <v>0</v>
      </c>
      <c r="D52" s="34">
        <v>0</v>
      </c>
      <c r="E52" s="34">
        <v>0</v>
      </c>
      <c r="F52" s="34">
        <v>200</v>
      </c>
      <c r="G52" s="34">
        <v>0</v>
      </c>
      <c r="H52" s="34"/>
      <c r="I52" s="34" t="s">
        <v>1561</v>
      </c>
      <c r="J52" s="34" t="s">
        <v>1561</v>
      </c>
      <c r="K52" s="107" t="s">
        <v>1561</v>
      </c>
      <c r="L52" s="34" t="s">
        <v>1561</v>
      </c>
    </row>
    <row r="53" spans="1:12" ht="16.5" x14ac:dyDescent="0.35">
      <c r="A53" s="106" t="str">
        <f>HYPERLINK("https://www.examplebusiness.com/resource-center/lifestyle/a-cheat-sheet-for-sending-your-kid-to-college","https://www.examplebusiness.com/resource-center/lifestyle/a-cheat-sheet-for-sending-your-kid-to-college")</f>
        <v>https://www.examplebusiness.com/resource-center/lifestyle/a-cheat-sheet-for-sending-your-kid-to-college</v>
      </c>
      <c r="B53" s="34">
        <v>5</v>
      </c>
      <c r="C53" s="34">
        <v>0</v>
      </c>
      <c r="D53" s="34">
        <v>0</v>
      </c>
      <c r="E53" s="34">
        <v>0</v>
      </c>
      <c r="F53" s="34">
        <v>200</v>
      </c>
      <c r="G53" s="34">
        <v>0</v>
      </c>
      <c r="H53" s="34"/>
      <c r="I53" s="34" t="s">
        <v>1561</v>
      </c>
      <c r="J53" s="34" t="s">
        <v>1561</v>
      </c>
      <c r="K53" s="107" t="s">
        <v>1561</v>
      </c>
      <c r="L53" s="34" t="s">
        <v>1561</v>
      </c>
    </row>
    <row r="54" spans="1:12" ht="16.5" x14ac:dyDescent="0.35">
      <c r="A54" s="106" t="str">
        <f>HYPERLINK("https://www.examplebusiness.com/resource-center/retirement/split-annuity-strategy","https://www.examplebusiness.com/resource-center/retirement/split-annuity-strategy")</f>
        <v>https://www.examplebusiness.com/resource-center/retirement/split-annuity-strategy</v>
      </c>
      <c r="B54" s="34">
        <v>5</v>
      </c>
      <c r="C54" s="34">
        <v>0</v>
      </c>
      <c r="D54" s="34">
        <v>0</v>
      </c>
      <c r="E54" s="34">
        <v>0</v>
      </c>
      <c r="F54" s="34">
        <v>200</v>
      </c>
      <c r="G54" s="34">
        <v>0</v>
      </c>
      <c r="H54" s="34"/>
      <c r="I54" s="34" t="s">
        <v>1561</v>
      </c>
      <c r="J54" s="34" t="s">
        <v>1561</v>
      </c>
      <c r="K54" s="107" t="s">
        <v>1561</v>
      </c>
      <c r="L54" s="34" t="s">
        <v>1561</v>
      </c>
    </row>
    <row r="55" spans="1:12" ht="16.5" x14ac:dyDescent="0.35">
      <c r="A55" s="106" t="str">
        <f>HYPERLINK("https://www.examplebusiness.com/resource-center/lifestyle/an-arm-and-a-leg","https://www.examplebusiness.com/resource-center/lifestyle/an-arm-and-a-leg")</f>
        <v>https://www.examplebusiness.com/resource-center/lifestyle/an-arm-and-a-leg</v>
      </c>
      <c r="B55" s="34">
        <v>5</v>
      </c>
      <c r="C55" s="34">
        <v>0</v>
      </c>
      <c r="D55" s="34">
        <v>0</v>
      </c>
      <c r="E55" s="34">
        <v>0</v>
      </c>
      <c r="F55" s="34">
        <v>200</v>
      </c>
      <c r="G55" s="34">
        <v>0</v>
      </c>
      <c r="H55" s="34"/>
      <c r="I55" s="34" t="s">
        <v>1561</v>
      </c>
      <c r="J55" s="34" t="s">
        <v>1561</v>
      </c>
      <c r="K55" s="107" t="s">
        <v>1561</v>
      </c>
      <c r="L55" s="34" t="s">
        <v>1561</v>
      </c>
    </row>
    <row r="56" spans="1:12" ht="16.5" x14ac:dyDescent="0.35">
      <c r="A56" s="106" t="str">
        <f>HYPERLINK("https://www.examplebusiness.com/resource-center/lifestyle/surprises-advisormercial","https://www.examplebusiness.com/resource-center/lifestyle/surprises-advisormercial")</f>
        <v>https://www.examplebusiness.com/resource-center/lifestyle/surprises-advisormercial</v>
      </c>
      <c r="B56" s="34">
        <v>5</v>
      </c>
      <c r="C56" s="34">
        <v>0</v>
      </c>
      <c r="D56" s="34">
        <v>0</v>
      </c>
      <c r="E56" s="34">
        <v>0</v>
      </c>
      <c r="F56" s="34">
        <v>200</v>
      </c>
      <c r="G56" s="34">
        <v>0</v>
      </c>
      <c r="H56" s="34"/>
      <c r="I56" s="34" t="s">
        <v>1561</v>
      </c>
      <c r="J56" s="34" t="s">
        <v>1561</v>
      </c>
      <c r="K56" s="107" t="s">
        <v>1561</v>
      </c>
      <c r="L56" s="34" t="s">
        <v>1561</v>
      </c>
    </row>
    <row r="57" spans="1:12" ht="16.5" x14ac:dyDescent="0.35">
      <c r="A57" s="106" t="str">
        <f>HYPERLINK("https://www.examplebusiness.com/resource-center/retirement/eight-mistakes-that-can-upend-your-retirement","https://www.examplebusiness.com/resource-center/retirement/eight-mistakes-that-can-upend-your-retirement")</f>
        <v>https://www.examplebusiness.com/resource-center/retirement/eight-mistakes-that-can-upend-your-retirement</v>
      </c>
      <c r="B57" s="34">
        <v>5</v>
      </c>
      <c r="C57" s="34">
        <v>0</v>
      </c>
      <c r="D57" s="34">
        <v>0</v>
      </c>
      <c r="E57" s="34">
        <v>0</v>
      </c>
      <c r="F57" s="34">
        <v>200</v>
      </c>
      <c r="G57" s="34">
        <v>0</v>
      </c>
      <c r="H57" s="34"/>
      <c r="I57" s="34" t="s">
        <v>1561</v>
      </c>
      <c r="J57" s="34" t="s">
        <v>1561</v>
      </c>
      <c r="K57" s="107" t="s">
        <v>1561</v>
      </c>
      <c r="L57" s="34" t="s">
        <v>1561</v>
      </c>
    </row>
    <row r="58" spans="1:12" ht="16.5" x14ac:dyDescent="0.35">
      <c r="A58" s="106" t="str">
        <f>HYPERLINK("https://www.examplebusiness.com/resource-center/money/once-upon-a-goal","https://www.examplebusiness.com/resource-center/money/once-upon-a-goal")</f>
        <v>https://www.examplebusiness.com/resource-center/money/once-upon-a-goal</v>
      </c>
      <c r="B58" s="34">
        <v>5</v>
      </c>
      <c r="C58" s="34">
        <v>0</v>
      </c>
      <c r="D58" s="34">
        <v>0</v>
      </c>
      <c r="E58" s="34">
        <v>0</v>
      </c>
      <c r="F58" s="34">
        <v>200</v>
      </c>
      <c r="G58" s="34">
        <v>0</v>
      </c>
      <c r="H58" s="34"/>
      <c r="I58" s="34" t="s">
        <v>1561</v>
      </c>
      <c r="J58" s="34" t="s">
        <v>1561</v>
      </c>
      <c r="K58" s="107" t="s">
        <v>1561</v>
      </c>
      <c r="L58" s="34" t="s">
        <v>1561</v>
      </c>
    </row>
    <row r="59" spans="1:12" ht="16.5" x14ac:dyDescent="0.35">
      <c r="A59" s="106" t="str">
        <f>HYPERLINK("https://www.examplebusiness.com/resource-center/investment/mutual-funds-vs-etfs","https://www.examplebusiness.com/resource-center/investment/mutual-funds-vs-etfs")</f>
        <v>https://www.examplebusiness.com/resource-center/investment/mutual-funds-vs-etfs</v>
      </c>
      <c r="B59" s="34">
        <v>5</v>
      </c>
      <c r="C59" s="34">
        <v>0</v>
      </c>
      <c r="D59" s="34">
        <v>0</v>
      </c>
      <c r="E59" s="34">
        <v>0</v>
      </c>
      <c r="F59" s="34">
        <v>200</v>
      </c>
      <c r="G59" s="34">
        <v>0</v>
      </c>
      <c r="H59" s="34"/>
      <c r="I59" s="34" t="s">
        <v>1561</v>
      </c>
      <c r="J59" s="34" t="s">
        <v>1561</v>
      </c>
      <c r="K59" s="107" t="s">
        <v>1561</v>
      </c>
      <c r="L59" s="34" t="s">
        <v>1561</v>
      </c>
    </row>
    <row r="60" spans="1:12" ht="16.5" x14ac:dyDescent="0.35">
      <c r="A60" s="106" t="str">
        <f>HYPERLINK("https://www.examplebusiness.com/resource-center/investment/investment-risk-no-ones-heard-of","https://www.examplebusiness.com/resource-center/investment/investment-risk-no-ones-heard-of")</f>
        <v>https://www.examplebusiness.com/resource-center/investment/investment-risk-no-ones-heard-of</v>
      </c>
      <c r="B60" s="34">
        <v>5</v>
      </c>
      <c r="C60" s="34">
        <v>0</v>
      </c>
      <c r="D60" s="34">
        <v>0</v>
      </c>
      <c r="E60" s="34">
        <v>0</v>
      </c>
      <c r="F60" s="34">
        <v>200</v>
      </c>
      <c r="G60" s="34">
        <v>0</v>
      </c>
      <c r="H60" s="34"/>
      <c r="I60" s="34" t="s">
        <v>1561</v>
      </c>
      <c r="J60" s="34" t="s">
        <v>1561</v>
      </c>
      <c r="K60" s="107" t="s">
        <v>1561</v>
      </c>
      <c r="L60" s="34" t="s">
        <v>1561</v>
      </c>
    </row>
    <row r="61" spans="1:12" ht="16.5" x14ac:dyDescent="0.35">
      <c r="A61" s="106" t="str">
        <f>HYPERLINK("https://www.examplebusiness.com/resource-center/money/doubling-your-money","https://www.examplebusiness.com/resource-center/money/doubling-your-money")</f>
        <v>https://www.examplebusiness.com/resource-center/money/doubling-your-money</v>
      </c>
      <c r="B61" s="34">
        <v>5</v>
      </c>
      <c r="C61" s="34">
        <v>0</v>
      </c>
      <c r="D61" s="34">
        <v>0</v>
      </c>
      <c r="E61" s="34">
        <v>0</v>
      </c>
      <c r="F61" s="34">
        <v>200</v>
      </c>
      <c r="G61" s="34">
        <v>0</v>
      </c>
      <c r="H61" s="34"/>
      <c r="I61" s="34" t="s">
        <v>1561</v>
      </c>
      <c r="J61" s="34" t="s">
        <v>1561</v>
      </c>
      <c r="K61" s="107" t="s">
        <v>1561</v>
      </c>
      <c r="L61" s="34" t="s">
        <v>1561</v>
      </c>
    </row>
    <row r="62" spans="1:12" ht="16.5" x14ac:dyDescent="0.35">
      <c r="A62" s="106" t="str">
        <f>HYPERLINK("https://www.examplebusiness.com/resource-center/retirement/should-you-ever-retire","https://www.examplebusiness.com/resource-center/retirement/should-you-ever-retire")</f>
        <v>https://www.examplebusiness.com/resource-center/retirement/should-you-ever-retire</v>
      </c>
      <c r="B62" s="34">
        <v>5</v>
      </c>
      <c r="C62" s="34">
        <v>0</v>
      </c>
      <c r="D62" s="34">
        <v>0</v>
      </c>
      <c r="E62" s="34">
        <v>0</v>
      </c>
      <c r="F62" s="34">
        <v>200</v>
      </c>
      <c r="G62" s="34">
        <v>0</v>
      </c>
      <c r="H62" s="34"/>
      <c r="I62" s="34" t="s">
        <v>1561</v>
      </c>
      <c r="J62" s="34" t="s">
        <v>1561</v>
      </c>
      <c r="K62" s="107" t="s">
        <v>1561</v>
      </c>
      <c r="L62" s="34" t="s">
        <v>1561</v>
      </c>
    </row>
    <row r="63" spans="1:12" ht="16.5" x14ac:dyDescent="0.35">
      <c r="A63" s="106" t="str">
        <f>HYPERLINK("https://www.examplebusiness.com/resource-center/money/saving-for-college-101","https://www.examplebusiness.com/resource-center/money/saving-for-college-101")</f>
        <v>https://www.examplebusiness.com/resource-center/money/saving-for-college-101</v>
      </c>
      <c r="B63" s="34">
        <v>5</v>
      </c>
      <c r="C63" s="34">
        <v>0</v>
      </c>
      <c r="D63" s="34">
        <v>0</v>
      </c>
      <c r="E63" s="34">
        <v>0</v>
      </c>
      <c r="F63" s="34">
        <v>200</v>
      </c>
      <c r="G63" s="34">
        <v>0</v>
      </c>
      <c r="H63" s="34"/>
      <c r="I63" s="34" t="s">
        <v>1561</v>
      </c>
      <c r="J63" s="34" t="s">
        <v>1561</v>
      </c>
      <c r="K63" s="107" t="s">
        <v>1561</v>
      </c>
      <c r="L63" s="34" t="s">
        <v>1561</v>
      </c>
    </row>
    <row r="64" spans="1:12" ht="16.5" x14ac:dyDescent="0.35">
      <c r="A64" s="106" t="str">
        <f>HYPERLINK("https://www.examplebusiness.com/resource-center/retirement/the-pre-retirement-checklist","https://www.examplebusiness.com/resource-center/retirement/the-pre-retirement-checklist")</f>
        <v>https://www.examplebusiness.com/resource-center/retirement/the-pre-retirement-checklist</v>
      </c>
      <c r="B64" s="34">
        <v>5</v>
      </c>
      <c r="C64" s="34">
        <v>0</v>
      </c>
      <c r="D64" s="34">
        <v>0</v>
      </c>
      <c r="E64" s="34">
        <v>0</v>
      </c>
      <c r="F64" s="34">
        <v>200</v>
      </c>
      <c r="G64" s="34">
        <v>0</v>
      </c>
      <c r="H64" s="34"/>
      <c r="I64" s="34" t="s">
        <v>1561</v>
      </c>
      <c r="J64" s="34" t="s">
        <v>1561</v>
      </c>
      <c r="K64" s="107" t="s">
        <v>1561</v>
      </c>
      <c r="L64" s="34" t="s">
        <v>1561</v>
      </c>
    </row>
    <row r="65" spans="1:12" ht="16.5" x14ac:dyDescent="0.35">
      <c r="A65" s="106" t="str">
        <f>HYPERLINK("https://www.examplebusiness.com/resource-center/estate/principles-of-preserving-wealth","https://www.examplebusiness.com/resource-center/estate/principles-of-preserving-wealth")</f>
        <v>https://www.examplebusiness.com/resource-center/estate/principles-of-preserving-wealth</v>
      </c>
      <c r="B65" s="34">
        <v>5</v>
      </c>
      <c r="C65" s="34">
        <v>0</v>
      </c>
      <c r="D65" s="34">
        <v>0</v>
      </c>
      <c r="E65" s="34">
        <v>0</v>
      </c>
      <c r="F65" s="34">
        <v>200</v>
      </c>
      <c r="G65" s="34">
        <v>0</v>
      </c>
      <c r="H65" s="34"/>
      <c r="I65" s="34" t="s">
        <v>1561</v>
      </c>
      <c r="J65" s="34" t="s">
        <v>1561</v>
      </c>
      <c r="K65" s="107" t="s">
        <v>1561</v>
      </c>
      <c r="L65" s="34" t="s">
        <v>1561</v>
      </c>
    </row>
    <row r="66" spans="1:12" ht="16.5" x14ac:dyDescent="0.35">
      <c r="A66" s="106" t="str">
        <f>HYPERLINK("https://www.examplebusiness.com/resource-center/insurance/keep-your-umbrella-handy","https://www.examplebusiness.com/resource-center/insurance/keep-your-umbrella-handy")</f>
        <v>https://www.examplebusiness.com/resource-center/insurance/keep-your-umbrella-handy</v>
      </c>
      <c r="B66" s="34">
        <v>5</v>
      </c>
      <c r="C66" s="34">
        <v>0</v>
      </c>
      <c r="D66" s="34">
        <v>0</v>
      </c>
      <c r="E66" s="34">
        <v>0</v>
      </c>
      <c r="F66" s="34">
        <v>200</v>
      </c>
      <c r="G66" s="34">
        <v>0</v>
      </c>
      <c r="H66" s="34"/>
      <c r="I66" s="34">
        <v>0</v>
      </c>
      <c r="J66" s="34">
        <v>2</v>
      </c>
      <c r="K66" s="107">
        <v>0</v>
      </c>
      <c r="L66" s="34">
        <v>64</v>
      </c>
    </row>
    <row r="67" spans="1:12" ht="16.5" x14ac:dyDescent="0.35">
      <c r="A67" s="106" t="str">
        <f>HYPERLINK("https://www.examplebusiness.com/resource-center/investment/the-anatomy-of-an-index","https://www.examplebusiness.com/resource-center/investment/the-anatomy-of-an-index")</f>
        <v>https://www.examplebusiness.com/resource-center/investment/the-anatomy-of-an-index</v>
      </c>
      <c r="B67" s="34">
        <v>5</v>
      </c>
      <c r="C67" s="34">
        <v>0</v>
      </c>
      <c r="D67" s="34">
        <v>0</v>
      </c>
      <c r="E67" s="34">
        <v>0</v>
      </c>
      <c r="F67" s="34">
        <v>200</v>
      </c>
      <c r="G67" s="34">
        <v>0</v>
      </c>
      <c r="H67" s="34"/>
      <c r="I67" s="34" t="s">
        <v>1561</v>
      </c>
      <c r="J67" s="34" t="s">
        <v>1561</v>
      </c>
      <c r="K67" s="107" t="s">
        <v>1561</v>
      </c>
      <c r="L67" s="34" t="s">
        <v>1561</v>
      </c>
    </row>
    <row r="68" spans="1:12" ht="16.5" x14ac:dyDescent="0.35">
      <c r="A68" s="106" t="str">
        <f>HYPERLINK("https://www.examplebusiness.com/resource-center/tax/federal-income-tax","https://www.examplebusiness.com/resource-center/tax/federal-income-tax")</f>
        <v>https://www.examplebusiness.com/resource-center/tax/federal-income-tax</v>
      </c>
      <c r="B68" s="34">
        <v>5</v>
      </c>
      <c r="C68" s="34">
        <v>0</v>
      </c>
      <c r="D68" s="34">
        <v>0</v>
      </c>
      <c r="E68" s="34">
        <v>0</v>
      </c>
      <c r="F68" s="34">
        <v>200</v>
      </c>
      <c r="G68" s="34">
        <v>0</v>
      </c>
      <c r="H68" s="34"/>
      <c r="I68" s="34" t="s">
        <v>1561</v>
      </c>
      <c r="J68" s="34" t="s">
        <v>1561</v>
      </c>
      <c r="K68" s="107" t="s">
        <v>1561</v>
      </c>
      <c r="L68" s="34" t="s">
        <v>1561</v>
      </c>
    </row>
    <row r="69" spans="1:12" ht="16.5" x14ac:dyDescent="0.35">
      <c r="A69" s="106" t="str">
        <f>HYPERLINK("https://www.examplebusiness.com/resource-center/tax/comparing-investments","https://www.examplebusiness.com/resource-center/tax/comparing-investments")</f>
        <v>https://www.examplebusiness.com/resource-center/tax/comparing-investments</v>
      </c>
      <c r="B69" s="34">
        <v>5</v>
      </c>
      <c r="C69" s="34">
        <v>0</v>
      </c>
      <c r="D69" s="34">
        <v>0</v>
      </c>
      <c r="E69" s="34">
        <v>0</v>
      </c>
      <c r="F69" s="34">
        <v>200</v>
      </c>
      <c r="G69" s="34">
        <v>0</v>
      </c>
      <c r="H69" s="34"/>
      <c r="I69" s="34" t="s">
        <v>1561</v>
      </c>
      <c r="J69" s="34" t="s">
        <v>1561</v>
      </c>
      <c r="K69" s="107" t="s">
        <v>1561</v>
      </c>
      <c r="L69" s="34" t="s">
        <v>1561</v>
      </c>
    </row>
    <row r="70" spans="1:12" ht="16.5" x14ac:dyDescent="0.35">
      <c r="A70" s="106" t="str">
        <f>HYPERLINK("https://www.examplebusiness.com/resource-center/lifestyle/interested-in-a-fuel-efficient-car","https://www.examplebusiness.com/resource-center/lifestyle/interested-in-a-fuel-efficient-car")</f>
        <v>https://www.examplebusiness.com/resource-center/lifestyle/interested-in-a-fuel-efficient-car</v>
      </c>
      <c r="B70" s="34">
        <v>5</v>
      </c>
      <c r="C70" s="34">
        <v>0</v>
      </c>
      <c r="D70" s="34">
        <v>0</v>
      </c>
      <c r="E70" s="34">
        <v>0</v>
      </c>
      <c r="F70" s="34">
        <v>200</v>
      </c>
      <c r="G70" s="34">
        <v>0</v>
      </c>
      <c r="H70" s="34"/>
      <c r="I70" s="34">
        <v>0</v>
      </c>
      <c r="J70" s="34">
        <v>2</v>
      </c>
      <c r="K70" s="107">
        <v>0</v>
      </c>
      <c r="L70" s="34">
        <v>31</v>
      </c>
    </row>
    <row r="71" spans="1:12" ht="16.5" x14ac:dyDescent="0.35">
      <c r="A71" s="106" t="str">
        <f>HYPERLINK("https://www.examplebusiness.com/resource-center/retirement/the-long-run-women-and-retirement","https://www.examplebusiness.com/resource-center/retirement/the-long-run-women-and-retirement")</f>
        <v>https://www.examplebusiness.com/resource-center/retirement/the-long-run-women-and-retirement</v>
      </c>
      <c r="B71" s="34">
        <v>5</v>
      </c>
      <c r="C71" s="34">
        <v>0</v>
      </c>
      <c r="D71" s="34">
        <v>0</v>
      </c>
      <c r="E71" s="34">
        <v>0</v>
      </c>
      <c r="F71" s="34">
        <v>200</v>
      </c>
      <c r="G71" s="34">
        <v>0</v>
      </c>
      <c r="H71" s="34"/>
      <c r="I71" s="34" t="s">
        <v>1561</v>
      </c>
      <c r="J71" s="34" t="s">
        <v>1561</v>
      </c>
      <c r="K71" s="107" t="s">
        <v>1561</v>
      </c>
      <c r="L71" s="34" t="s">
        <v>1561</v>
      </c>
    </row>
    <row r="72" spans="1:12" ht="16.5" x14ac:dyDescent="0.35">
      <c r="A72" s="106" t="str">
        <f>HYPERLINK("https://www.examplebusiness.com/resource-center/money/what-is-my-current-cash-flow","https://www.examplebusiness.com/resource-center/money/what-is-my-current-cash-flow")</f>
        <v>https://www.examplebusiness.com/resource-center/money/what-is-my-current-cash-flow</v>
      </c>
      <c r="B72" s="34">
        <v>5</v>
      </c>
      <c r="C72" s="34">
        <v>0</v>
      </c>
      <c r="D72" s="34">
        <v>0</v>
      </c>
      <c r="E72" s="34">
        <v>0</v>
      </c>
      <c r="F72" s="34">
        <v>200</v>
      </c>
      <c r="G72" s="34">
        <v>0</v>
      </c>
      <c r="H72" s="34"/>
      <c r="I72" s="34" t="s">
        <v>1561</v>
      </c>
      <c r="J72" s="34" t="s">
        <v>1561</v>
      </c>
      <c r="K72" s="107" t="s">
        <v>1561</v>
      </c>
      <c r="L72" s="34" t="s">
        <v>1561</v>
      </c>
    </row>
    <row r="73" spans="1:12" ht="16.5" x14ac:dyDescent="0.35">
      <c r="A73" s="106" t="str">
        <f>HYPERLINK("https://www.examplebusiness.com/resource-center/investment/four-really-good-reasons-to-invest","https://www.examplebusiness.com/resource-center/investment/four-really-good-reasons-to-invest")</f>
        <v>https://www.examplebusiness.com/resource-center/investment/four-really-good-reasons-to-invest</v>
      </c>
      <c r="B73" s="34">
        <v>5</v>
      </c>
      <c r="C73" s="34">
        <v>0</v>
      </c>
      <c r="D73" s="34">
        <v>0</v>
      </c>
      <c r="E73" s="34">
        <v>0</v>
      </c>
      <c r="F73" s="34">
        <v>200</v>
      </c>
      <c r="G73" s="34">
        <v>0</v>
      </c>
      <c r="H73" s="34"/>
      <c r="I73" s="34" t="s">
        <v>1561</v>
      </c>
      <c r="J73" s="34" t="s">
        <v>1561</v>
      </c>
      <c r="K73" s="107" t="s">
        <v>1561</v>
      </c>
      <c r="L73" s="34" t="s">
        <v>1561</v>
      </c>
    </row>
    <row r="74" spans="1:12" ht="16.5" x14ac:dyDescent="0.35">
      <c r="A74" s="106" t="str">
        <f>HYPERLINK("https://www.examplebusiness.com/resource-center/money/keeping-up-with-the-joneses","https://www.examplebusiness.com/resource-center/money/keeping-up-with-the-joneses")</f>
        <v>https://www.examplebusiness.com/resource-center/money/keeping-up-with-the-joneses</v>
      </c>
      <c r="B74" s="34">
        <v>5</v>
      </c>
      <c r="C74" s="34">
        <v>0</v>
      </c>
      <c r="D74" s="34">
        <v>0</v>
      </c>
      <c r="E74" s="34">
        <v>0</v>
      </c>
      <c r="F74" s="34">
        <v>200</v>
      </c>
      <c r="G74" s="34">
        <v>0</v>
      </c>
      <c r="H74" s="34"/>
      <c r="I74" s="34" t="s">
        <v>1561</v>
      </c>
      <c r="J74" s="34" t="s">
        <v>1561</v>
      </c>
      <c r="K74" s="107" t="s">
        <v>1561</v>
      </c>
      <c r="L74" s="34" t="s">
        <v>1561</v>
      </c>
    </row>
    <row r="75" spans="1:12" ht="16.5" x14ac:dyDescent="0.35">
      <c r="A75" s="106" t="str">
        <f>HYPERLINK("https://www.examplebusiness.com/resource-center/retirement/investment-strategies-for-retirement","https://www.examplebusiness.com/resource-center/retirement/investment-strategies-for-retirement")</f>
        <v>https://www.examplebusiness.com/resource-center/retirement/investment-strategies-for-retirement</v>
      </c>
      <c r="B75" s="34">
        <v>5</v>
      </c>
      <c r="C75" s="34">
        <v>0</v>
      </c>
      <c r="D75" s="34">
        <v>0</v>
      </c>
      <c r="E75" s="34">
        <v>0</v>
      </c>
      <c r="F75" s="34">
        <v>200</v>
      </c>
      <c r="G75" s="34">
        <v>0</v>
      </c>
      <c r="H75" s="34"/>
      <c r="I75" s="34">
        <v>0</v>
      </c>
      <c r="J75" s="34">
        <v>1</v>
      </c>
      <c r="K75" s="107">
        <v>0</v>
      </c>
      <c r="L75" s="34">
        <v>2</v>
      </c>
    </row>
    <row r="76" spans="1:12" ht="16.5" x14ac:dyDescent="0.35">
      <c r="A76" s="106" t="str">
        <f>HYPERLINK("https://www.examplebusiness.com/resource-center/insurance/inventorying-your-possessions","https://www.examplebusiness.com/resource-center/insurance/inventorying-your-possessions")</f>
        <v>https://www.examplebusiness.com/resource-center/insurance/inventorying-your-possessions</v>
      </c>
      <c r="B76" s="34">
        <v>5</v>
      </c>
      <c r="C76" s="34">
        <v>0</v>
      </c>
      <c r="D76" s="34">
        <v>0</v>
      </c>
      <c r="E76" s="34">
        <v>0</v>
      </c>
      <c r="F76" s="34">
        <v>200</v>
      </c>
      <c r="G76" s="34">
        <v>0</v>
      </c>
      <c r="H76" s="34"/>
      <c r="I76" s="34" t="s">
        <v>1561</v>
      </c>
      <c r="J76" s="34" t="s">
        <v>1561</v>
      </c>
      <c r="K76" s="107" t="s">
        <v>1561</v>
      </c>
      <c r="L76" s="34" t="s">
        <v>1561</v>
      </c>
    </row>
    <row r="77" spans="1:12" ht="16.5" x14ac:dyDescent="0.35">
      <c r="A77" s="106" t="str">
        <f>HYPERLINK("https://www.examplebusiness.com/resource-center/money/life-and-death-of-a-20-dollar-bill","https://www.examplebusiness.com/resource-center/money/life-and-death-of-a-20-dollar-bill")</f>
        <v>https://www.examplebusiness.com/resource-center/money/life-and-death-of-a-20-dollar-bill</v>
      </c>
      <c r="B77" s="34">
        <v>5</v>
      </c>
      <c r="C77" s="34">
        <v>0</v>
      </c>
      <c r="D77" s="34">
        <v>0</v>
      </c>
      <c r="E77" s="34">
        <v>0</v>
      </c>
      <c r="F77" s="34">
        <v>200</v>
      </c>
      <c r="G77" s="34">
        <v>0</v>
      </c>
      <c r="H77" s="34"/>
      <c r="I77" s="34">
        <v>0</v>
      </c>
      <c r="J77" s="34">
        <v>13</v>
      </c>
      <c r="K77" s="107">
        <v>0</v>
      </c>
      <c r="L77" s="34">
        <v>51.77</v>
      </c>
    </row>
    <row r="78" spans="1:12" ht="16.5" x14ac:dyDescent="0.35">
      <c r="A78" s="106" t="str">
        <f>HYPERLINK("https://www.examplebusiness.com/resource-center/money/the-cost-of-procrastination","https://www.examplebusiness.com/resource-center/money/the-cost-of-procrastination")</f>
        <v>https://www.examplebusiness.com/resource-center/money/the-cost-of-procrastination</v>
      </c>
      <c r="B78" s="34">
        <v>5</v>
      </c>
      <c r="C78" s="34">
        <v>0</v>
      </c>
      <c r="D78" s="34">
        <v>0</v>
      </c>
      <c r="E78" s="34">
        <v>0</v>
      </c>
      <c r="F78" s="34">
        <v>200</v>
      </c>
      <c r="G78" s="34">
        <v>0</v>
      </c>
      <c r="H78" s="34"/>
      <c r="I78" s="34" t="s">
        <v>1561</v>
      </c>
      <c r="J78" s="34" t="s">
        <v>1561</v>
      </c>
      <c r="K78" s="107" t="s">
        <v>1561</v>
      </c>
      <c r="L78" s="34" t="s">
        <v>1561</v>
      </c>
    </row>
    <row r="79" spans="1:12" ht="16.5" x14ac:dyDescent="0.35">
      <c r="A79" s="106" t="str">
        <f>HYPERLINK("https://www.examplebusiness.com/resource-center/tax/home-mortgage-deduction","https://www.examplebusiness.com/resource-center/tax/home-mortgage-deduction")</f>
        <v>https://www.examplebusiness.com/resource-center/tax/home-mortgage-deduction</v>
      </c>
      <c r="B79" s="34">
        <v>5</v>
      </c>
      <c r="C79" s="34">
        <v>0</v>
      </c>
      <c r="D79" s="34">
        <v>0</v>
      </c>
      <c r="E79" s="34">
        <v>0</v>
      </c>
      <c r="F79" s="34">
        <v>200</v>
      </c>
      <c r="G79" s="34">
        <v>0</v>
      </c>
      <c r="H79" s="34"/>
      <c r="I79" s="34" t="s">
        <v>1561</v>
      </c>
      <c r="J79" s="34" t="s">
        <v>1561</v>
      </c>
      <c r="K79" s="107" t="s">
        <v>1561</v>
      </c>
      <c r="L79" s="34" t="s">
        <v>1561</v>
      </c>
    </row>
    <row r="80" spans="1:12" ht="16.5" x14ac:dyDescent="0.35">
      <c r="A80" s="106" t="str">
        <f>HYPERLINK("https://www.examplebusiness.com/resource-center/investment/global-and-international-funds","https://www.examplebusiness.com/resource-center/investment/global-and-international-funds")</f>
        <v>https://www.examplebusiness.com/resource-center/investment/global-and-international-funds</v>
      </c>
      <c r="B80" s="34">
        <v>5</v>
      </c>
      <c r="C80" s="34">
        <v>0</v>
      </c>
      <c r="D80" s="34">
        <v>0</v>
      </c>
      <c r="E80" s="34">
        <v>0</v>
      </c>
      <c r="F80" s="34">
        <v>200</v>
      </c>
      <c r="G80" s="34">
        <v>0</v>
      </c>
      <c r="H80" s="34"/>
      <c r="I80" s="34" t="s">
        <v>1561</v>
      </c>
      <c r="J80" s="34" t="s">
        <v>1561</v>
      </c>
      <c r="K80" s="107" t="s">
        <v>1561</v>
      </c>
      <c r="L80" s="34" t="s">
        <v>1561</v>
      </c>
    </row>
    <row r="81" spans="1:12" ht="16.5" x14ac:dyDescent="0.35">
      <c r="A81" s="106" t="str">
        <f>HYPERLINK("https://www.examplebusiness.com/resource-center/lifestyle/a-house-divided","https://www.examplebusiness.com/resource-center/lifestyle/a-house-divided")</f>
        <v>https://www.examplebusiness.com/resource-center/lifestyle/a-house-divided</v>
      </c>
      <c r="B81" s="34">
        <v>5</v>
      </c>
      <c r="C81" s="34">
        <v>0</v>
      </c>
      <c r="D81" s="34">
        <v>0</v>
      </c>
      <c r="E81" s="34">
        <v>0</v>
      </c>
      <c r="F81" s="34">
        <v>200</v>
      </c>
      <c r="G81" s="34">
        <v>0</v>
      </c>
      <c r="H81" s="34"/>
      <c r="I81" s="34" t="s">
        <v>1561</v>
      </c>
      <c r="J81" s="34" t="s">
        <v>1561</v>
      </c>
      <c r="K81" s="107" t="s">
        <v>1561</v>
      </c>
      <c r="L81" s="34" t="s">
        <v>1561</v>
      </c>
    </row>
    <row r="82" spans="1:12" ht="16.5" x14ac:dyDescent="0.35">
      <c r="A82" s="106" t="str">
        <f>HYPERLINK("https://www.examplebusiness.com/resource-center/retirement/social-security-two-benefit-strategies-eliminated","https://www.examplebusiness.com/resource-center/retirement/social-security-two-benefit-strategies-eliminated")</f>
        <v>https://www.examplebusiness.com/resource-center/retirement/social-security-two-benefit-strategies-eliminated</v>
      </c>
      <c r="B82" s="34">
        <v>5</v>
      </c>
      <c r="C82" s="34">
        <v>0</v>
      </c>
      <c r="D82" s="34">
        <v>0</v>
      </c>
      <c r="E82" s="34">
        <v>0</v>
      </c>
      <c r="F82" s="34">
        <v>200</v>
      </c>
      <c r="G82" s="34">
        <v>0</v>
      </c>
      <c r="H82" s="34"/>
      <c r="I82" s="34" t="s">
        <v>1561</v>
      </c>
      <c r="J82" s="34" t="s">
        <v>1561</v>
      </c>
      <c r="K82" s="107" t="s">
        <v>1561</v>
      </c>
      <c r="L82" s="34" t="s">
        <v>1561</v>
      </c>
    </row>
    <row r="83" spans="1:12" ht="16.5" x14ac:dyDescent="0.35">
      <c r="A83" s="106" t="str">
        <f>HYPERLINK("https://www.examplebusiness.com/resource-center/money/year-end-charitable-gifting-and-you","https://www.examplebusiness.com/resource-center/money/year-end-charitable-gifting-and-you")</f>
        <v>https://www.examplebusiness.com/resource-center/money/year-end-charitable-gifting-and-you</v>
      </c>
      <c r="B83" s="34">
        <v>5</v>
      </c>
      <c r="C83" s="34">
        <v>0</v>
      </c>
      <c r="D83" s="34">
        <v>0</v>
      </c>
      <c r="E83" s="34">
        <v>0</v>
      </c>
      <c r="F83" s="34">
        <v>200</v>
      </c>
      <c r="G83" s="34">
        <v>0</v>
      </c>
      <c r="H83" s="34"/>
      <c r="I83" s="34" t="s">
        <v>1561</v>
      </c>
      <c r="J83" s="34" t="s">
        <v>1561</v>
      </c>
      <c r="K83" s="107" t="s">
        <v>1561</v>
      </c>
      <c r="L83" s="34" t="s">
        <v>1561</v>
      </c>
    </row>
    <row r="84" spans="1:12" ht="16.5" x14ac:dyDescent="0.35">
      <c r="A84" s="106" t="str">
        <f>HYPERLINK("https://www.examplebusiness.com/resource-center/tax/do-you-owe-the-amt","https://www.examplebusiness.com/resource-center/tax/do-you-owe-the-amt")</f>
        <v>https://www.examplebusiness.com/resource-center/tax/do-you-owe-the-amt</v>
      </c>
      <c r="B84" s="34">
        <v>5</v>
      </c>
      <c r="C84" s="34">
        <v>0</v>
      </c>
      <c r="D84" s="34">
        <v>0</v>
      </c>
      <c r="E84" s="34">
        <v>0</v>
      </c>
      <c r="F84" s="34">
        <v>200</v>
      </c>
      <c r="G84" s="34">
        <v>0</v>
      </c>
      <c r="H84" s="34"/>
      <c r="I84" s="34">
        <v>0</v>
      </c>
      <c r="J84" s="34">
        <v>3</v>
      </c>
      <c r="K84" s="107">
        <v>0</v>
      </c>
      <c r="L84" s="34">
        <v>4</v>
      </c>
    </row>
    <row r="85" spans="1:12" ht="16.5" x14ac:dyDescent="0.35">
      <c r="A85" s="106" t="str">
        <f>HYPERLINK("https://www.examplebusiness.com/resource-center/retirement/should-you-tap-retirement-savings-to-fund-college","https://www.examplebusiness.com/resource-center/retirement/should-you-tap-retirement-savings-to-fund-college")</f>
        <v>https://www.examplebusiness.com/resource-center/retirement/should-you-tap-retirement-savings-to-fund-college</v>
      </c>
      <c r="B85" s="34">
        <v>5</v>
      </c>
      <c r="C85" s="34">
        <v>0</v>
      </c>
      <c r="D85" s="34">
        <v>0</v>
      </c>
      <c r="E85" s="34">
        <v>0</v>
      </c>
      <c r="F85" s="34">
        <v>200</v>
      </c>
      <c r="G85" s="34">
        <v>0</v>
      </c>
      <c r="H85" s="34"/>
      <c r="I85" s="34" t="s">
        <v>1561</v>
      </c>
      <c r="J85" s="34" t="s">
        <v>1561</v>
      </c>
      <c r="K85" s="107" t="s">
        <v>1561</v>
      </c>
      <c r="L85" s="34" t="s">
        <v>1561</v>
      </c>
    </row>
    <row r="86" spans="1:12" ht="16.5" x14ac:dyDescent="0.35">
      <c r="A86" s="106" t="str">
        <f>HYPERLINK("https://www.examplebusiness.com/resource-center/insurance/errors-and-omissions-insurance","https://www.examplebusiness.com/resource-center/insurance/errors-and-omissions-insurance")</f>
        <v>https://www.examplebusiness.com/resource-center/insurance/errors-and-omissions-insurance</v>
      </c>
      <c r="B86" s="34">
        <v>5</v>
      </c>
      <c r="C86" s="34">
        <v>0</v>
      </c>
      <c r="D86" s="34">
        <v>0</v>
      </c>
      <c r="E86" s="34">
        <v>0</v>
      </c>
      <c r="F86" s="34">
        <v>200</v>
      </c>
      <c r="G86" s="34">
        <v>0</v>
      </c>
      <c r="H86" s="34"/>
      <c r="I86" s="34" t="s">
        <v>1561</v>
      </c>
      <c r="J86" s="34" t="s">
        <v>1561</v>
      </c>
      <c r="K86" s="107" t="s">
        <v>1561</v>
      </c>
      <c r="L86" s="34" t="s">
        <v>1561</v>
      </c>
    </row>
    <row r="87" spans="1:12" ht="16.5" x14ac:dyDescent="0.35">
      <c r="A87" s="106" t="str">
        <f>HYPERLINK("https://www.examplebusiness.com/resource-center/retirement/is-a-sep-ira-right-for-your-business","https://www.examplebusiness.com/resource-center/retirement/is-a-sep-ira-right-for-your-business")</f>
        <v>https://www.examplebusiness.com/resource-center/retirement/is-a-sep-ira-right-for-your-business</v>
      </c>
      <c r="B87" s="34">
        <v>5</v>
      </c>
      <c r="C87" s="34">
        <v>0</v>
      </c>
      <c r="D87" s="34">
        <v>0</v>
      </c>
      <c r="E87" s="34">
        <v>0</v>
      </c>
      <c r="F87" s="34">
        <v>200</v>
      </c>
      <c r="G87" s="34">
        <v>0</v>
      </c>
      <c r="H87" s="34"/>
      <c r="I87" s="34" t="s">
        <v>1561</v>
      </c>
      <c r="J87" s="34" t="s">
        <v>1561</v>
      </c>
      <c r="K87" s="107" t="s">
        <v>1561</v>
      </c>
      <c r="L87" s="34" t="s">
        <v>1561</v>
      </c>
    </row>
    <row r="88" spans="1:12" ht="16.5" x14ac:dyDescent="0.35">
      <c r="A88" s="106" t="str">
        <f>HYPERLINK("https://www.examplebusiness.com/resource-center/money/your-cash-flow-statement","https://www.examplebusiness.com/resource-center/money/your-cash-flow-statement")</f>
        <v>https://www.examplebusiness.com/resource-center/money/your-cash-flow-statement</v>
      </c>
      <c r="B88" s="34">
        <v>5</v>
      </c>
      <c r="C88" s="34">
        <v>0</v>
      </c>
      <c r="D88" s="34">
        <v>0</v>
      </c>
      <c r="E88" s="34">
        <v>0</v>
      </c>
      <c r="F88" s="34">
        <v>200</v>
      </c>
      <c r="G88" s="34">
        <v>0</v>
      </c>
      <c r="H88" s="34"/>
      <c r="I88" s="34" t="s">
        <v>1561</v>
      </c>
      <c r="J88" s="34" t="s">
        <v>1561</v>
      </c>
      <c r="K88" s="107" t="s">
        <v>1561</v>
      </c>
      <c r="L88" s="34" t="s">
        <v>1561</v>
      </c>
    </row>
    <row r="89" spans="1:12" ht="16.5" x14ac:dyDescent="0.35">
      <c r="A89" s="106" t="str">
        <f>HYPERLINK("https://www.examplebusiness.com/resource-center/investment/saving-for-college","https://www.examplebusiness.com/resource-center/investment/saving-for-college")</f>
        <v>https://www.examplebusiness.com/resource-center/investment/saving-for-college</v>
      </c>
      <c r="B89" s="34">
        <v>5</v>
      </c>
      <c r="C89" s="34">
        <v>0</v>
      </c>
      <c r="D89" s="34">
        <v>0</v>
      </c>
      <c r="E89" s="34">
        <v>0</v>
      </c>
      <c r="F89" s="34">
        <v>200</v>
      </c>
      <c r="G89" s="34">
        <v>0</v>
      </c>
      <c r="H89" s="34"/>
      <c r="I89" s="34" t="s">
        <v>1561</v>
      </c>
      <c r="J89" s="34" t="s">
        <v>1561</v>
      </c>
      <c r="K89" s="107" t="s">
        <v>1561</v>
      </c>
      <c r="L89" s="34" t="s">
        <v>1561</v>
      </c>
    </row>
    <row r="90" spans="1:12" ht="16.5" x14ac:dyDescent="0.35">
      <c r="A90" s="106" t="str">
        <f>HYPERLINK("https://www.examplebusiness.com/resource-center/investment/are-alternative-investments-right-for-you","https://www.examplebusiness.com/resource-center/investment/are-alternative-investments-right-for-you")</f>
        <v>https://www.examplebusiness.com/resource-center/investment/are-alternative-investments-right-for-you</v>
      </c>
      <c r="B90" s="34">
        <v>5</v>
      </c>
      <c r="C90" s="34">
        <v>0</v>
      </c>
      <c r="D90" s="34">
        <v>0</v>
      </c>
      <c r="E90" s="34">
        <v>0</v>
      </c>
      <c r="F90" s="34">
        <v>200</v>
      </c>
      <c r="G90" s="34">
        <v>0</v>
      </c>
      <c r="H90" s="34"/>
      <c r="I90" s="34">
        <v>0</v>
      </c>
      <c r="J90" s="34">
        <v>1</v>
      </c>
      <c r="K90" s="107">
        <v>0</v>
      </c>
      <c r="L90" s="34">
        <v>100</v>
      </c>
    </row>
    <row r="91" spans="1:12" ht="16.5" x14ac:dyDescent="0.35">
      <c r="A91" s="106" t="str">
        <f>HYPERLINK("https://www.examplebusiness.com/resource-center/investment/estimating-the-cost-of-college","https://www.examplebusiness.com/resource-center/investment/estimating-the-cost-of-college")</f>
        <v>https://www.examplebusiness.com/resource-center/investment/estimating-the-cost-of-college</v>
      </c>
      <c r="B91" s="34">
        <v>5</v>
      </c>
      <c r="C91" s="34">
        <v>0</v>
      </c>
      <c r="D91" s="34">
        <v>0</v>
      </c>
      <c r="E91" s="34">
        <v>0</v>
      </c>
      <c r="F91" s="34">
        <v>200</v>
      </c>
      <c r="G91" s="34">
        <v>0</v>
      </c>
      <c r="H91" s="34"/>
      <c r="I91" s="34">
        <v>0</v>
      </c>
      <c r="J91" s="34">
        <v>2</v>
      </c>
      <c r="K91" s="107">
        <v>0</v>
      </c>
      <c r="L91" s="34">
        <v>92</v>
      </c>
    </row>
    <row r="92" spans="1:12" ht="16.5" x14ac:dyDescent="0.35">
      <c r="A92" s="106" t="str">
        <f>HYPERLINK("https://www.examplebusiness.com/resource-center/retirement/traditional-vs-roth-ira","https://www.examplebusiness.com/resource-center/retirement/traditional-vs-roth-ira")</f>
        <v>https://www.examplebusiness.com/resource-center/retirement/traditional-vs-roth-ira</v>
      </c>
      <c r="B92" s="34">
        <v>5</v>
      </c>
      <c r="C92" s="34">
        <v>0</v>
      </c>
      <c r="D92" s="34">
        <v>0</v>
      </c>
      <c r="E92" s="34">
        <v>0</v>
      </c>
      <c r="F92" s="34">
        <v>200</v>
      </c>
      <c r="G92" s="34">
        <v>0</v>
      </c>
      <c r="H92" s="34"/>
      <c r="I92" s="34" t="s">
        <v>1561</v>
      </c>
      <c r="J92" s="34" t="s">
        <v>1561</v>
      </c>
      <c r="K92" s="107" t="s">
        <v>1561</v>
      </c>
      <c r="L92" s="34" t="s">
        <v>1561</v>
      </c>
    </row>
    <row r="93" spans="1:12" ht="16.5" x14ac:dyDescent="0.35">
      <c r="A93" s="106" t="str">
        <f>HYPERLINK("https://www.examplebusiness.com/resource-center/lifestyle/managing-your-lifestyle","https://www.examplebusiness.com/resource-center/lifestyle/managing-your-lifestyle")</f>
        <v>https://www.examplebusiness.com/resource-center/lifestyle/managing-your-lifestyle</v>
      </c>
      <c r="B93" s="34">
        <v>5</v>
      </c>
      <c r="C93" s="34">
        <v>0</v>
      </c>
      <c r="D93" s="34">
        <v>0</v>
      </c>
      <c r="E93" s="34">
        <v>0</v>
      </c>
      <c r="F93" s="34">
        <v>200</v>
      </c>
      <c r="G93" s="34">
        <v>0</v>
      </c>
      <c r="H93" s="34"/>
      <c r="I93" s="34">
        <v>0</v>
      </c>
      <c r="J93" s="34">
        <v>2</v>
      </c>
      <c r="K93" s="107">
        <v>0</v>
      </c>
      <c r="L93" s="34">
        <v>2</v>
      </c>
    </row>
    <row r="94" spans="1:12" ht="16.5" x14ac:dyDescent="0.35">
      <c r="A94" s="106" t="str">
        <f>HYPERLINK("https://www.examplebusiness.com/resource-center/lifestyle/changing-unhealthy-behaviors","https://www.examplebusiness.com/resource-center/lifestyle/changing-unhealthy-behaviors")</f>
        <v>https://www.examplebusiness.com/resource-center/lifestyle/changing-unhealthy-behaviors</v>
      </c>
      <c r="B94" s="34">
        <v>5</v>
      </c>
      <c r="C94" s="34">
        <v>0</v>
      </c>
      <c r="D94" s="34">
        <v>0</v>
      </c>
      <c r="E94" s="34">
        <v>0</v>
      </c>
      <c r="F94" s="34">
        <v>200</v>
      </c>
      <c r="G94" s="34">
        <v>0</v>
      </c>
      <c r="H94" s="34"/>
      <c r="I94" s="34" t="s">
        <v>1561</v>
      </c>
      <c r="J94" s="34" t="s">
        <v>1561</v>
      </c>
      <c r="K94" s="107" t="s">
        <v>1561</v>
      </c>
      <c r="L94" s="34" t="s">
        <v>1561</v>
      </c>
    </row>
    <row r="95" spans="1:12" ht="16.5" x14ac:dyDescent="0.35">
      <c r="A95" s="106" t="str">
        <f>HYPERLINK("https://www.examplebusiness.com/resource-center/investment/jane-bond-decoding-diversification","https://www.examplebusiness.com/resource-center/investment/jane-bond-decoding-diversification")</f>
        <v>https://www.examplebusiness.com/resource-center/investment/jane-bond-decoding-diversification</v>
      </c>
      <c r="B95" s="34">
        <v>5</v>
      </c>
      <c r="C95" s="34">
        <v>0</v>
      </c>
      <c r="D95" s="34">
        <v>0</v>
      </c>
      <c r="E95" s="34">
        <v>0</v>
      </c>
      <c r="F95" s="34">
        <v>200</v>
      </c>
      <c r="G95" s="34">
        <v>0</v>
      </c>
      <c r="H95" s="34"/>
      <c r="I95" s="34" t="s">
        <v>1561</v>
      </c>
      <c r="J95" s="34" t="s">
        <v>1561</v>
      </c>
      <c r="K95" s="107" t="s">
        <v>1561</v>
      </c>
      <c r="L95" s="34" t="s">
        <v>1561</v>
      </c>
    </row>
    <row r="96" spans="1:12" ht="16.5" x14ac:dyDescent="0.35">
      <c r="A96" s="106" t="str">
        <f>HYPERLINK("https://www.examplebusiness.com/resource-center/insurance/long-term-care-needs","https://www.examplebusiness.com/resource-center/insurance/long-term-care-needs")</f>
        <v>https://www.examplebusiness.com/resource-center/insurance/long-term-care-needs</v>
      </c>
      <c r="B96" s="34">
        <v>5</v>
      </c>
      <c r="C96" s="34">
        <v>0</v>
      </c>
      <c r="D96" s="34">
        <v>0</v>
      </c>
      <c r="E96" s="34">
        <v>0</v>
      </c>
      <c r="F96" s="34">
        <v>200</v>
      </c>
      <c r="G96" s="34">
        <v>0</v>
      </c>
      <c r="H96" s="34"/>
      <c r="I96" s="34" t="s">
        <v>1561</v>
      </c>
      <c r="J96" s="34" t="s">
        <v>1561</v>
      </c>
      <c r="K96" s="107" t="s">
        <v>1561</v>
      </c>
      <c r="L96" s="34" t="s">
        <v>1561</v>
      </c>
    </row>
    <row r="97" spans="1:12" ht="16.5" x14ac:dyDescent="0.35">
      <c r="A97" s="106" t="str">
        <f>HYPERLINK("https://www.examplebusiness.com/resource-center/insurance/disability-income","https://www.examplebusiness.com/resource-center/insurance/disability-income")</f>
        <v>https://www.examplebusiness.com/resource-center/insurance/disability-income</v>
      </c>
      <c r="B97" s="34">
        <v>5</v>
      </c>
      <c r="C97" s="34">
        <v>0</v>
      </c>
      <c r="D97" s="34">
        <v>0</v>
      </c>
      <c r="E97" s="34">
        <v>0</v>
      </c>
      <c r="F97" s="34">
        <v>200</v>
      </c>
      <c r="G97" s="34">
        <v>0</v>
      </c>
      <c r="H97" s="34"/>
      <c r="I97" s="34" t="s">
        <v>1561</v>
      </c>
      <c r="J97" s="34" t="s">
        <v>1561</v>
      </c>
      <c r="K97" s="107" t="s">
        <v>1561</v>
      </c>
      <c r="L97" s="34" t="s">
        <v>1561</v>
      </c>
    </row>
    <row r="98" spans="1:12" ht="16.5" x14ac:dyDescent="0.35">
      <c r="A98" s="106" t="str">
        <f>HYPERLINK("https://www.examplebusiness.com/resource-center/investment/the-cycle-of-investing","https://www.examplebusiness.com/resource-center/investment/the-cycle-of-investing")</f>
        <v>https://www.examplebusiness.com/resource-center/investment/the-cycle-of-investing</v>
      </c>
      <c r="B98" s="34">
        <v>5</v>
      </c>
      <c r="C98" s="34">
        <v>0</v>
      </c>
      <c r="D98" s="34">
        <v>0</v>
      </c>
      <c r="E98" s="34">
        <v>0</v>
      </c>
      <c r="F98" s="34">
        <v>200</v>
      </c>
      <c r="G98" s="34">
        <v>0</v>
      </c>
      <c r="H98" s="34"/>
      <c r="I98" s="34" t="s">
        <v>1561</v>
      </c>
      <c r="J98" s="34" t="s">
        <v>1561</v>
      </c>
      <c r="K98" s="107" t="s">
        <v>1561</v>
      </c>
      <c r="L98" s="34" t="s">
        <v>1561</v>
      </c>
    </row>
    <row r="99" spans="1:12" ht="16.5" x14ac:dyDescent="0.35">
      <c r="A99" s="106" t="str">
        <f>HYPERLINK("https://www.examplebusiness.com/resource-center/insurance/extended-care-a-patchwork-of-possibilities","https://www.examplebusiness.com/resource-center/insurance/extended-care-a-patchwork-of-possibilities")</f>
        <v>https://www.examplebusiness.com/resource-center/insurance/extended-care-a-patchwork-of-possibilities</v>
      </c>
      <c r="B99" s="34">
        <v>5</v>
      </c>
      <c r="C99" s="34">
        <v>0</v>
      </c>
      <c r="D99" s="34">
        <v>0</v>
      </c>
      <c r="E99" s="34">
        <v>0</v>
      </c>
      <c r="F99" s="34">
        <v>200</v>
      </c>
      <c r="G99" s="34">
        <v>0</v>
      </c>
      <c r="H99" s="34"/>
      <c r="I99" s="34" t="s">
        <v>1561</v>
      </c>
      <c r="J99" s="34" t="s">
        <v>1561</v>
      </c>
      <c r="K99" s="107" t="s">
        <v>1561</v>
      </c>
      <c r="L99" s="34" t="s">
        <v>1561</v>
      </c>
    </row>
    <row r="100" spans="1:12" ht="16.5" x14ac:dyDescent="0.35">
      <c r="A100" s="106" t="str">
        <f>HYPERLINK("https://www.examplebusiness.com/resource-center/retirement/self-employed-retirement-plans","https://www.examplebusiness.com/resource-center/retirement/self-employed-retirement-plans")</f>
        <v>https://www.examplebusiness.com/resource-center/retirement/self-employed-retirement-plans</v>
      </c>
      <c r="B100" s="34">
        <v>5</v>
      </c>
      <c r="C100" s="34">
        <v>0</v>
      </c>
      <c r="D100" s="34">
        <v>0</v>
      </c>
      <c r="E100" s="34">
        <v>0</v>
      </c>
      <c r="F100" s="34">
        <v>200</v>
      </c>
      <c r="G100" s="34">
        <v>0</v>
      </c>
      <c r="H100" s="34"/>
      <c r="I100" s="34">
        <v>0</v>
      </c>
      <c r="J100" s="34">
        <v>1</v>
      </c>
      <c r="K100" s="107">
        <v>0</v>
      </c>
      <c r="L100" s="34">
        <v>92</v>
      </c>
    </row>
    <row r="101" spans="1:12" ht="16.5" x14ac:dyDescent="0.35">
      <c r="A101" s="106" t="str">
        <f>HYPERLINK("https://www.examplebusiness.com/resource-center/retirement/inflation-and-retirement","https://www.examplebusiness.com/resource-center/retirement/inflation-and-retirement")</f>
        <v>https://www.examplebusiness.com/resource-center/retirement/inflation-and-retirement</v>
      </c>
      <c r="B101" s="34">
        <v>5</v>
      </c>
      <c r="C101" s="34">
        <v>0</v>
      </c>
      <c r="D101" s="34">
        <v>0</v>
      </c>
      <c r="E101" s="34">
        <v>0</v>
      </c>
      <c r="F101" s="34">
        <v>200</v>
      </c>
      <c r="G101" s="34">
        <v>0</v>
      </c>
      <c r="H101" s="34"/>
      <c r="I101" s="34" t="s">
        <v>1561</v>
      </c>
      <c r="J101" s="34" t="s">
        <v>1561</v>
      </c>
      <c r="K101" s="107" t="s">
        <v>1561</v>
      </c>
      <c r="L101" s="34" t="s">
        <v>1561</v>
      </c>
    </row>
    <row r="102" spans="1:12" ht="16.5" x14ac:dyDescent="0.35">
      <c r="A102" s="106" t="str">
        <f>HYPERLINK("https://www.examplebusiness.com/resource-center/lifestyle/how-much-home-can-i-afford","https://www.examplebusiness.com/resource-center/lifestyle/how-much-home-can-i-afford")</f>
        <v>https://www.examplebusiness.com/resource-center/lifestyle/how-much-home-can-i-afford</v>
      </c>
      <c r="B102" s="34">
        <v>5</v>
      </c>
      <c r="C102" s="34">
        <v>0</v>
      </c>
      <c r="D102" s="34">
        <v>0</v>
      </c>
      <c r="E102" s="34">
        <v>0</v>
      </c>
      <c r="F102" s="34">
        <v>200</v>
      </c>
      <c r="G102" s="34">
        <v>0</v>
      </c>
      <c r="H102" s="34"/>
      <c r="I102" s="34" t="s">
        <v>1561</v>
      </c>
      <c r="J102" s="34" t="s">
        <v>1561</v>
      </c>
      <c r="K102" s="107" t="s">
        <v>1561</v>
      </c>
      <c r="L102" s="34" t="s">
        <v>1561</v>
      </c>
    </row>
    <row r="103" spans="1:12" ht="16.5" x14ac:dyDescent="0.35">
      <c r="A103" s="106" t="str">
        <f>HYPERLINK("https://www.examplebusiness.com/resource-center/retirement/my-retirement-savings","https://www.examplebusiness.com/resource-center/retirement/my-retirement-savings")</f>
        <v>https://www.examplebusiness.com/resource-center/retirement/my-retirement-savings</v>
      </c>
      <c r="B103" s="34">
        <v>5</v>
      </c>
      <c r="C103" s="34">
        <v>0</v>
      </c>
      <c r="D103" s="34">
        <v>0</v>
      </c>
      <c r="E103" s="34">
        <v>0</v>
      </c>
      <c r="F103" s="34">
        <v>200</v>
      </c>
      <c r="G103" s="34">
        <v>0</v>
      </c>
      <c r="H103" s="34"/>
      <c r="I103" s="34" t="s">
        <v>1561</v>
      </c>
      <c r="J103" s="34" t="s">
        <v>1561</v>
      </c>
      <c r="K103" s="107" t="s">
        <v>1561</v>
      </c>
      <c r="L103" s="34" t="s">
        <v>1561</v>
      </c>
    </row>
    <row r="104" spans="1:12" ht="16.5" x14ac:dyDescent="0.35">
      <c r="A104" s="106" t="str">
        <f>HYPERLINK("https://www.examplebusiness.com/resource-center/investment/bridging-the-confidence-gap","https://www.examplebusiness.com/resource-center/investment/bridging-the-confidence-gap")</f>
        <v>https://www.examplebusiness.com/resource-center/investment/bridging-the-confidence-gap</v>
      </c>
      <c r="B104" s="34">
        <v>5</v>
      </c>
      <c r="C104" s="34">
        <v>0</v>
      </c>
      <c r="D104" s="34">
        <v>0</v>
      </c>
      <c r="E104" s="34">
        <v>0</v>
      </c>
      <c r="F104" s="34">
        <v>200</v>
      </c>
      <c r="G104" s="34">
        <v>0</v>
      </c>
      <c r="H104" s="34"/>
      <c r="I104" s="34" t="s">
        <v>1561</v>
      </c>
      <c r="J104" s="34" t="s">
        <v>1561</v>
      </c>
      <c r="K104" s="107" t="s">
        <v>1561</v>
      </c>
      <c r="L104" s="34" t="s">
        <v>1561</v>
      </c>
    </row>
    <row r="105" spans="1:12" ht="16.5" x14ac:dyDescent="0.35">
      <c r="A105" s="106" t="str">
        <f>HYPERLINK("https://www.examplebusiness.com/resource-center/investment/16-wall-street-cliches-in-60-seconds","https://www.examplebusiness.com/resource-center/investment/16-wall-street-cliches-in-60-seconds")</f>
        <v>https://www.examplebusiness.com/resource-center/investment/16-wall-street-cliches-in-60-seconds</v>
      </c>
      <c r="B105" s="34">
        <v>5</v>
      </c>
      <c r="C105" s="34">
        <v>0</v>
      </c>
      <c r="D105" s="34">
        <v>0</v>
      </c>
      <c r="E105" s="34">
        <v>0</v>
      </c>
      <c r="F105" s="34">
        <v>200</v>
      </c>
      <c r="G105" s="34">
        <v>0</v>
      </c>
      <c r="H105" s="34"/>
      <c r="I105" s="34" t="s">
        <v>1561</v>
      </c>
      <c r="J105" s="34" t="s">
        <v>1561</v>
      </c>
      <c r="K105" s="107" t="s">
        <v>1561</v>
      </c>
      <c r="L105" s="34" t="s">
        <v>1561</v>
      </c>
    </row>
    <row r="106" spans="1:12" ht="16.5" x14ac:dyDescent="0.35">
      <c r="A106" s="106" t="str">
        <f>HYPERLINK("https://www.examplebusiness.com/resource-center/lifestyle/money-draining-food-myths","https://www.examplebusiness.com/resource-center/lifestyle/money-draining-food-myths")</f>
        <v>https://www.examplebusiness.com/resource-center/lifestyle/money-draining-food-myths</v>
      </c>
      <c r="B106" s="34">
        <v>5</v>
      </c>
      <c r="C106" s="34">
        <v>0</v>
      </c>
      <c r="D106" s="34">
        <v>0</v>
      </c>
      <c r="E106" s="34">
        <v>0</v>
      </c>
      <c r="F106" s="34">
        <v>200</v>
      </c>
      <c r="G106" s="34">
        <v>0</v>
      </c>
      <c r="H106" s="34"/>
      <c r="I106" s="34" t="s">
        <v>1561</v>
      </c>
      <c r="J106" s="34" t="s">
        <v>1561</v>
      </c>
      <c r="K106" s="107" t="s">
        <v>1561</v>
      </c>
      <c r="L106" s="34" t="s">
        <v>1561</v>
      </c>
    </row>
    <row r="107" spans="1:12" ht="16.5" x14ac:dyDescent="0.35">
      <c r="A107" s="106" t="str">
        <f>HYPERLINK("https://www.examplebusiness.com/resource-center/investment/what-is-my-risk-tolerance","https://www.examplebusiness.com/resource-center/investment/what-is-my-risk-tolerance")</f>
        <v>https://www.examplebusiness.com/resource-center/investment/what-is-my-risk-tolerance</v>
      </c>
      <c r="B107" s="34">
        <v>5</v>
      </c>
      <c r="C107" s="34">
        <v>0</v>
      </c>
      <c r="D107" s="34">
        <v>0</v>
      </c>
      <c r="E107" s="34">
        <v>0</v>
      </c>
      <c r="F107" s="34">
        <v>200</v>
      </c>
      <c r="G107" s="34">
        <v>0</v>
      </c>
      <c r="H107" s="34"/>
      <c r="I107" s="34" t="s">
        <v>1561</v>
      </c>
      <c r="J107" s="34" t="s">
        <v>1561</v>
      </c>
      <c r="K107" s="107" t="s">
        <v>1561</v>
      </c>
      <c r="L107" s="34" t="s">
        <v>1561</v>
      </c>
    </row>
    <row r="108" spans="1:12" ht="16.5" x14ac:dyDescent="0.35">
      <c r="A108" s="106" t="str">
        <f>HYPERLINK("https://www.examplebusiness.com/resource-center/tax/tax-reform-before-and-after","https://www.examplebusiness.com/resource-center/tax/tax-reform-before-and-after")</f>
        <v>https://www.examplebusiness.com/resource-center/tax/tax-reform-before-and-after</v>
      </c>
      <c r="B108" s="34">
        <v>5</v>
      </c>
      <c r="C108" s="34">
        <v>0</v>
      </c>
      <c r="D108" s="34">
        <v>0</v>
      </c>
      <c r="E108" s="34">
        <v>0</v>
      </c>
      <c r="F108" s="34">
        <v>200</v>
      </c>
      <c r="G108" s="34">
        <v>0</v>
      </c>
      <c r="H108" s="34"/>
      <c r="I108" s="34" t="s">
        <v>1561</v>
      </c>
      <c r="J108" s="34" t="s">
        <v>1561</v>
      </c>
      <c r="K108" s="107" t="s">
        <v>1561</v>
      </c>
      <c r="L108" s="34" t="s">
        <v>1561</v>
      </c>
    </row>
    <row r="109" spans="1:12" ht="16.5" x14ac:dyDescent="0.35">
      <c r="A109" s="106" t="str">
        <f>HYPERLINK("https://www.examplebusiness.com/resource-center/retirement/certain-uncertainties-in-retirement","https://www.examplebusiness.com/resource-center/retirement/certain-uncertainties-in-retirement")</f>
        <v>https://www.examplebusiness.com/resource-center/retirement/certain-uncertainties-in-retirement</v>
      </c>
      <c r="B109" s="34">
        <v>5</v>
      </c>
      <c r="C109" s="34">
        <v>0</v>
      </c>
      <c r="D109" s="34">
        <v>0</v>
      </c>
      <c r="E109" s="34">
        <v>0</v>
      </c>
      <c r="F109" s="34">
        <v>200</v>
      </c>
      <c r="G109" s="34">
        <v>0</v>
      </c>
      <c r="H109" s="34"/>
      <c r="I109" s="34" t="s">
        <v>1561</v>
      </c>
      <c r="J109" s="34" t="s">
        <v>1561</v>
      </c>
      <c r="K109" s="107" t="s">
        <v>1561</v>
      </c>
      <c r="L109" s="34" t="s">
        <v>1561</v>
      </c>
    </row>
    <row r="110" spans="1:12" ht="16.5" x14ac:dyDescent="0.35">
      <c r="A110" s="106" t="str">
        <f>HYPERLINK("https://www.examplebusiness.com/resource-center/money/password-protection-strategies","https://www.examplebusiness.com/resource-center/money/password-protection-strategies")</f>
        <v>https://www.examplebusiness.com/resource-center/money/password-protection-strategies</v>
      </c>
      <c r="B110" s="34">
        <v>5</v>
      </c>
      <c r="C110" s="34">
        <v>0</v>
      </c>
      <c r="D110" s="34">
        <v>0</v>
      </c>
      <c r="E110" s="34">
        <v>0</v>
      </c>
      <c r="F110" s="34">
        <v>200</v>
      </c>
      <c r="G110" s="34">
        <v>0</v>
      </c>
      <c r="H110" s="34"/>
      <c r="I110" s="34" t="s">
        <v>1561</v>
      </c>
      <c r="J110" s="34" t="s">
        <v>1561</v>
      </c>
      <c r="K110" s="107" t="s">
        <v>1561</v>
      </c>
      <c r="L110" s="34" t="s">
        <v>1561</v>
      </c>
    </row>
    <row r="111" spans="1:12" ht="16.5" x14ac:dyDescent="0.35">
      <c r="A111" s="106" t="str">
        <f>HYPERLINK("https://www.examplebusiness.com/resource-center/lifestyle/to-buy-or-not-to-buy","https://www.examplebusiness.com/resource-center/lifestyle/to-buy-or-not-to-buy")</f>
        <v>https://www.examplebusiness.com/resource-center/lifestyle/to-buy-or-not-to-buy</v>
      </c>
      <c r="B111" s="34">
        <v>5</v>
      </c>
      <c r="C111" s="34">
        <v>0</v>
      </c>
      <c r="D111" s="34">
        <v>0</v>
      </c>
      <c r="E111" s="34">
        <v>0</v>
      </c>
      <c r="F111" s="34">
        <v>200</v>
      </c>
      <c r="G111" s="34">
        <v>0</v>
      </c>
      <c r="H111" s="34"/>
      <c r="I111" s="34" t="s">
        <v>1561</v>
      </c>
      <c r="J111" s="34" t="s">
        <v>1561</v>
      </c>
      <c r="K111" s="107" t="s">
        <v>1561</v>
      </c>
      <c r="L111" s="34" t="s">
        <v>1561</v>
      </c>
    </row>
    <row r="112" spans="1:12" ht="16.5" x14ac:dyDescent="0.35">
      <c r="A112" s="106" t="str">
        <f>HYPERLINK("https://www.examplebusiness.com/resource-center/tax/what-is-a-1035-exchange","https://www.examplebusiness.com/resource-center/tax/what-is-a-1035-exchange")</f>
        <v>https://www.examplebusiness.com/resource-center/tax/what-is-a-1035-exchange</v>
      </c>
      <c r="B112" s="34">
        <v>5</v>
      </c>
      <c r="C112" s="34">
        <v>0</v>
      </c>
      <c r="D112" s="34">
        <v>0</v>
      </c>
      <c r="E112" s="34">
        <v>0</v>
      </c>
      <c r="F112" s="34">
        <v>200</v>
      </c>
      <c r="G112" s="34">
        <v>0</v>
      </c>
      <c r="H112" s="34"/>
      <c r="I112" s="34" t="s">
        <v>1561</v>
      </c>
      <c r="J112" s="34" t="s">
        <v>1561</v>
      </c>
      <c r="K112" s="107" t="s">
        <v>1561</v>
      </c>
      <c r="L112" s="34" t="s">
        <v>1561</v>
      </c>
    </row>
    <row r="113" spans="1:12" ht="16.5" x14ac:dyDescent="0.35">
      <c r="A113" s="106" t="str">
        <f>HYPERLINK("https://www.examplebusiness.com/resource-center/retirement/perception-vs-reality","https://www.examplebusiness.com/resource-center/retirement/perception-vs-reality")</f>
        <v>https://www.examplebusiness.com/resource-center/retirement/perception-vs-reality</v>
      </c>
      <c r="B113" s="34">
        <v>5</v>
      </c>
      <c r="C113" s="34">
        <v>0</v>
      </c>
      <c r="D113" s="34">
        <v>0</v>
      </c>
      <c r="E113" s="34">
        <v>0</v>
      </c>
      <c r="F113" s="34">
        <v>200</v>
      </c>
      <c r="G113" s="34">
        <v>0</v>
      </c>
      <c r="H113" s="34"/>
      <c r="I113" s="34" t="s">
        <v>1561</v>
      </c>
      <c r="J113" s="34" t="s">
        <v>1561</v>
      </c>
      <c r="K113" s="107" t="s">
        <v>1561</v>
      </c>
      <c r="L113" s="34" t="s">
        <v>1561</v>
      </c>
    </row>
    <row r="114" spans="1:12" ht="16.5" x14ac:dyDescent="0.35">
      <c r="A114" s="106" t="str">
        <f>HYPERLINK("https://www.examplebusiness.com/resource-center/money/spotting-credit-trouble","https://www.examplebusiness.com/resource-center/money/spotting-credit-trouble")</f>
        <v>https://www.examplebusiness.com/resource-center/money/spotting-credit-trouble</v>
      </c>
      <c r="B114" s="34">
        <v>5</v>
      </c>
      <c r="C114" s="34">
        <v>0</v>
      </c>
      <c r="D114" s="34">
        <v>0</v>
      </c>
      <c r="E114" s="34">
        <v>0</v>
      </c>
      <c r="F114" s="34">
        <v>200</v>
      </c>
      <c r="G114" s="34">
        <v>0</v>
      </c>
      <c r="H114" s="34"/>
      <c r="I114" s="34" t="s">
        <v>1561</v>
      </c>
      <c r="J114" s="34" t="s">
        <v>1561</v>
      </c>
      <c r="K114" s="107" t="s">
        <v>1561</v>
      </c>
      <c r="L114" s="34" t="s">
        <v>1561</v>
      </c>
    </row>
    <row r="115" spans="1:12" ht="16.5" x14ac:dyDescent="0.35">
      <c r="A115" s="106" t="str">
        <f>HYPERLINK("https://www.examplebusiness.com/resource-center/insurance/is-term-life-insurance-for-you","https://www.examplebusiness.com/resource-center/insurance/is-term-life-insurance-for-you")</f>
        <v>https://www.examplebusiness.com/resource-center/insurance/is-term-life-insurance-for-you</v>
      </c>
      <c r="B115" s="34">
        <v>5</v>
      </c>
      <c r="C115" s="34">
        <v>0</v>
      </c>
      <c r="D115" s="34">
        <v>0</v>
      </c>
      <c r="E115" s="34">
        <v>0</v>
      </c>
      <c r="F115" s="34">
        <v>200</v>
      </c>
      <c r="G115" s="34">
        <v>0</v>
      </c>
      <c r="H115" s="34"/>
      <c r="I115" s="34" t="s">
        <v>1561</v>
      </c>
      <c r="J115" s="34" t="s">
        <v>1561</v>
      </c>
      <c r="K115" s="107" t="s">
        <v>1561</v>
      </c>
      <c r="L115" s="34" t="s">
        <v>1561</v>
      </c>
    </row>
    <row r="116" spans="1:12" ht="16.5" x14ac:dyDescent="0.35">
      <c r="A116" s="106" t="str">
        <f>HYPERLINK("https://www.examplebusiness.com/resource-center/money/pay-yourself-first","https://www.examplebusiness.com/resource-center/money/pay-yourself-first")</f>
        <v>https://www.examplebusiness.com/resource-center/money/pay-yourself-first</v>
      </c>
      <c r="B116" s="34">
        <v>5</v>
      </c>
      <c r="C116" s="34">
        <v>0</v>
      </c>
      <c r="D116" s="34">
        <v>0</v>
      </c>
      <c r="E116" s="34">
        <v>0</v>
      </c>
      <c r="F116" s="34">
        <v>200</v>
      </c>
      <c r="G116" s="34">
        <v>0</v>
      </c>
      <c r="H116" s="34"/>
      <c r="I116" s="34">
        <v>0</v>
      </c>
      <c r="J116" s="34">
        <v>2</v>
      </c>
      <c r="K116" s="107">
        <v>0</v>
      </c>
      <c r="L116" s="34">
        <v>90</v>
      </c>
    </row>
    <row r="117" spans="1:12" ht="16.5" x14ac:dyDescent="0.35">
      <c r="A117" s="106" t="str">
        <f>HYPERLINK("https://www.examplebusiness.com/resource-center/tax/death-is-noexcuse","https://www.examplebusiness.com/resource-center/tax/death-is-noexcuse")</f>
        <v>https://www.examplebusiness.com/resource-center/tax/death-is-noexcuse</v>
      </c>
      <c r="B117" s="34">
        <v>5</v>
      </c>
      <c r="C117" s="34">
        <v>0</v>
      </c>
      <c r="D117" s="34">
        <v>0</v>
      </c>
      <c r="E117" s="34">
        <v>0</v>
      </c>
      <c r="F117" s="34">
        <v>200</v>
      </c>
      <c r="G117" s="34">
        <v>0</v>
      </c>
      <c r="H117" s="34"/>
      <c r="I117" s="34" t="s">
        <v>1561</v>
      </c>
      <c r="J117" s="34" t="s">
        <v>1561</v>
      </c>
      <c r="K117" s="107" t="s">
        <v>1561</v>
      </c>
      <c r="L117" s="34" t="s">
        <v>1561</v>
      </c>
    </row>
    <row r="118" spans="1:12" ht="16.5" x14ac:dyDescent="0.35">
      <c r="A118" s="106" t="str">
        <f>HYPERLINK("https://www.examplebusiness.com/resource-center/investment/inflation-and-your-portfolio","https://www.examplebusiness.com/resource-center/investment/inflation-and-your-portfolio")</f>
        <v>https://www.examplebusiness.com/resource-center/investment/inflation-and-your-portfolio</v>
      </c>
      <c r="B118" s="34">
        <v>5</v>
      </c>
      <c r="C118" s="34">
        <v>0</v>
      </c>
      <c r="D118" s="34">
        <v>0</v>
      </c>
      <c r="E118" s="34">
        <v>0</v>
      </c>
      <c r="F118" s="34">
        <v>200</v>
      </c>
      <c r="G118" s="34">
        <v>0</v>
      </c>
      <c r="H118" s="34"/>
      <c r="I118" s="34" t="s">
        <v>1561</v>
      </c>
      <c r="J118" s="34" t="s">
        <v>1561</v>
      </c>
      <c r="K118" s="107" t="s">
        <v>1561</v>
      </c>
      <c r="L118" s="34" t="s">
        <v>1561</v>
      </c>
    </row>
    <row r="119" spans="1:12" ht="16.5" x14ac:dyDescent="0.35">
      <c r="A119" s="106" t="str">
        <f>HYPERLINK("https://www.examplebusiness.com/resource-center/investment/how-financial-professionals-are-compensated","https://www.examplebusiness.com/resource-center/investment/how-financial-professionals-are-compensated")</f>
        <v>https://www.examplebusiness.com/resource-center/investment/how-financial-professionals-are-compensated</v>
      </c>
      <c r="B119" s="34">
        <v>5</v>
      </c>
      <c r="C119" s="34">
        <v>0</v>
      </c>
      <c r="D119" s="34">
        <v>0</v>
      </c>
      <c r="E119" s="34">
        <v>0</v>
      </c>
      <c r="F119" s="34">
        <v>200</v>
      </c>
      <c r="G119" s="34">
        <v>0</v>
      </c>
      <c r="H119" s="34"/>
      <c r="I119" s="34" t="s">
        <v>1561</v>
      </c>
      <c r="J119" s="34" t="s">
        <v>1561</v>
      </c>
      <c r="K119" s="107" t="s">
        <v>1561</v>
      </c>
      <c r="L119" s="34" t="s">
        <v>1561</v>
      </c>
    </row>
    <row r="120" spans="1:12" ht="16.5" x14ac:dyDescent="0.35">
      <c r="A120" s="106" t="str">
        <f>HYPERLINK("https://www.examplebusiness.com/resource-center/lifestyle/choosing-a-mortgage","https://www.examplebusiness.com/resource-center/lifestyle/choosing-a-mortgage")</f>
        <v>https://www.examplebusiness.com/resource-center/lifestyle/choosing-a-mortgage</v>
      </c>
      <c r="B120" s="34">
        <v>5</v>
      </c>
      <c r="C120" s="34">
        <v>0</v>
      </c>
      <c r="D120" s="34">
        <v>0</v>
      </c>
      <c r="E120" s="34">
        <v>0</v>
      </c>
      <c r="F120" s="34">
        <v>200</v>
      </c>
      <c r="G120" s="34">
        <v>0</v>
      </c>
      <c r="H120" s="34"/>
      <c r="I120" s="34" t="s">
        <v>1561</v>
      </c>
      <c r="J120" s="34" t="s">
        <v>1561</v>
      </c>
      <c r="K120" s="107" t="s">
        <v>1561</v>
      </c>
      <c r="L120" s="34" t="s">
        <v>1561</v>
      </c>
    </row>
    <row r="121" spans="1:12" ht="16.5" x14ac:dyDescent="0.35">
      <c r="A121" s="106" t="str">
        <f>HYPERLINK("https://www.examplebusiness.com/resource-center/investment/5-smart-investing-principles","https://www.examplebusiness.com/resource-center/investment/5-smart-investing-principles")</f>
        <v>https://www.examplebusiness.com/resource-center/investment/5-smart-investing-principles</v>
      </c>
      <c r="B121" s="34">
        <v>5</v>
      </c>
      <c r="C121" s="34">
        <v>0</v>
      </c>
      <c r="D121" s="34">
        <v>0</v>
      </c>
      <c r="E121" s="34">
        <v>0</v>
      </c>
      <c r="F121" s="34">
        <v>200</v>
      </c>
      <c r="G121" s="34">
        <v>0</v>
      </c>
      <c r="H121" s="34"/>
      <c r="I121" s="34" t="s">
        <v>1561</v>
      </c>
      <c r="J121" s="34" t="s">
        <v>1561</v>
      </c>
      <c r="K121" s="107" t="s">
        <v>1561</v>
      </c>
      <c r="L121" s="34" t="s">
        <v>1561</v>
      </c>
    </row>
    <row r="122" spans="1:12" ht="16.5" x14ac:dyDescent="0.35">
      <c r="A122" s="106" t="str">
        <f>HYPERLINK("https://www.examplebusiness.com/resource-center/retirement/three-key-questions-to-answer-before-taking-social-security","https://www.examplebusiness.com/resource-center/retirement/three-key-questions-to-answer-before-taking-social-security")</f>
        <v>https://www.examplebusiness.com/resource-center/retirement/three-key-questions-to-answer-before-taking-social-security</v>
      </c>
      <c r="B122" s="34">
        <v>5</v>
      </c>
      <c r="C122" s="34">
        <v>0</v>
      </c>
      <c r="D122" s="34">
        <v>0</v>
      </c>
      <c r="E122" s="34">
        <v>0</v>
      </c>
      <c r="F122" s="34">
        <v>200</v>
      </c>
      <c r="G122" s="34">
        <v>0</v>
      </c>
      <c r="H122" s="34"/>
      <c r="I122" s="34" t="s">
        <v>1561</v>
      </c>
      <c r="J122" s="34" t="s">
        <v>1561</v>
      </c>
      <c r="K122" s="107" t="s">
        <v>1561</v>
      </c>
      <c r="L122" s="34" t="s">
        <v>1561</v>
      </c>
    </row>
    <row r="123" spans="1:12" ht="16.5" x14ac:dyDescent="0.35">
      <c r="A123" s="106" t="str">
        <f>HYPERLINK("https://www.examplebusiness.com/resource-center/lifestyle/stop-wasting-money","https://www.examplebusiness.com/resource-center/lifestyle/stop-wasting-money")</f>
        <v>https://www.examplebusiness.com/resource-center/lifestyle/stop-wasting-money</v>
      </c>
      <c r="B123" s="34">
        <v>5</v>
      </c>
      <c r="C123" s="34">
        <v>0</v>
      </c>
      <c r="D123" s="34">
        <v>0</v>
      </c>
      <c r="E123" s="34">
        <v>0</v>
      </c>
      <c r="F123" s="34">
        <v>200</v>
      </c>
      <c r="G123" s="34">
        <v>0</v>
      </c>
      <c r="H123" s="34"/>
      <c r="I123" s="34" t="s">
        <v>1561</v>
      </c>
      <c r="J123" s="34" t="s">
        <v>1561</v>
      </c>
      <c r="K123" s="107" t="s">
        <v>1561</v>
      </c>
      <c r="L123" s="34" t="s">
        <v>1561</v>
      </c>
    </row>
    <row r="124" spans="1:12" ht="16.5" x14ac:dyDescent="0.35">
      <c r="A124" s="106" t="str">
        <f>HYPERLINK("https://www.examplebusiness.com/resource-center/tax/how-income-taxes-work","https://www.examplebusiness.com/resource-center/tax/how-income-taxes-work")</f>
        <v>https://www.examplebusiness.com/resource-center/tax/how-income-taxes-work</v>
      </c>
      <c r="B124" s="34">
        <v>5</v>
      </c>
      <c r="C124" s="34">
        <v>0</v>
      </c>
      <c r="D124" s="34">
        <v>0</v>
      </c>
      <c r="E124" s="34">
        <v>0</v>
      </c>
      <c r="F124" s="34">
        <v>200</v>
      </c>
      <c r="G124" s="34">
        <v>0</v>
      </c>
      <c r="H124" s="34"/>
      <c r="I124" s="34">
        <v>0</v>
      </c>
      <c r="J124" s="34">
        <v>103</v>
      </c>
      <c r="K124" s="107">
        <v>0</v>
      </c>
      <c r="L124" s="34">
        <v>72.540000000000006</v>
      </c>
    </row>
    <row r="125" spans="1:12" ht="16.5" x14ac:dyDescent="0.35">
      <c r="A125" s="106" t="str">
        <f>HYPERLINK("https://www.examplebusiness.com/team/theresa-goff","https://www.examplebusiness.com/team/theresa-goff")</f>
        <v>https://www.examplebusiness.com/team/theresa-goff</v>
      </c>
      <c r="B125" s="34">
        <v>5</v>
      </c>
      <c r="C125" s="34">
        <v>0</v>
      </c>
      <c r="D125" s="34">
        <v>0</v>
      </c>
      <c r="E125" s="34">
        <v>0</v>
      </c>
      <c r="F125" s="34">
        <v>200</v>
      </c>
      <c r="G125" s="34">
        <v>1</v>
      </c>
      <c r="H125" s="34"/>
      <c r="I125" s="34">
        <v>0</v>
      </c>
      <c r="J125" s="34">
        <v>4</v>
      </c>
      <c r="K125" s="107">
        <v>0</v>
      </c>
      <c r="L125" s="34">
        <v>4.25</v>
      </c>
    </row>
    <row r="126" spans="1:12" ht="16.5" x14ac:dyDescent="0.35">
      <c r="A126" s="106" t="str">
        <f>HYPERLINK("https://www.examplebusiness.com/resource-center/retirement/an-inside-look-at-retirement-living","https://www.examplebusiness.com/resource-center/retirement/an-inside-look-at-retirement-living")</f>
        <v>https://www.examplebusiness.com/resource-center/retirement/an-inside-look-at-retirement-living</v>
      </c>
      <c r="B126" s="34">
        <v>5</v>
      </c>
      <c r="C126" s="34">
        <v>0</v>
      </c>
      <c r="D126" s="34">
        <v>0</v>
      </c>
      <c r="E126" s="34">
        <v>0</v>
      </c>
      <c r="F126" s="34">
        <v>200</v>
      </c>
      <c r="G126" s="34">
        <v>0</v>
      </c>
      <c r="H126" s="34"/>
      <c r="I126" s="34" t="s">
        <v>1561</v>
      </c>
      <c r="J126" s="34" t="s">
        <v>1561</v>
      </c>
      <c r="K126" s="107" t="s">
        <v>1561</v>
      </c>
      <c r="L126" s="34" t="s">
        <v>1561</v>
      </c>
    </row>
    <row r="127" spans="1:12" ht="16.5" x14ac:dyDescent="0.35">
      <c r="A127" s="106" t="str">
        <f>HYPERLINK("https://www.examplebusiness.com/resource-center/retirement/retiring-the-4-percent-rule","https://www.examplebusiness.com/resource-center/retirement/retiring-the-4-percent-rule")</f>
        <v>https://www.examplebusiness.com/resource-center/retirement/retiring-the-4-percent-rule</v>
      </c>
      <c r="B127" s="34">
        <v>5</v>
      </c>
      <c r="C127" s="34">
        <v>0</v>
      </c>
      <c r="D127" s="34">
        <v>0</v>
      </c>
      <c r="E127" s="34">
        <v>0</v>
      </c>
      <c r="F127" s="34">
        <v>200</v>
      </c>
      <c r="G127" s="34">
        <v>0</v>
      </c>
      <c r="H127" s="34"/>
      <c r="I127" s="34">
        <v>0</v>
      </c>
      <c r="J127" s="34">
        <v>1</v>
      </c>
      <c r="K127" s="107">
        <v>0</v>
      </c>
      <c r="L127" s="34">
        <v>63</v>
      </c>
    </row>
    <row r="128" spans="1:12" ht="16.5" x14ac:dyDescent="0.35">
      <c r="A128" s="106" t="str">
        <f>HYPERLINK("https://www.examplebusiness.com/resource-center/retirement/re-retirement","https://www.examplebusiness.com/resource-center/retirement/re-retirement")</f>
        <v>https://www.examplebusiness.com/resource-center/retirement/re-retirement</v>
      </c>
      <c r="B128" s="34">
        <v>5</v>
      </c>
      <c r="C128" s="34">
        <v>0</v>
      </c>
      <c r="D128" s="34">
        <v>0</v>
      </c>
      <c r="E128" s="34">
        <v>0</v>
      </c>
      <c r="F128" s="34">
        <v>200</v>
      </c>
      <c r="G128" s="34">
        <v>0</v>
      </c>
      <c r="H128" s="34"/>
      <c r="I128" s="34" t="s">
        <v>1561</v>
      </c>
      <c r="J128" s="34" t="s">
        <v>1561</v>
      </c>
      <c r="K128" s="107" t="s">
        <v>1561</v>
      </c>
      <c r="L128" s="34" t="s">
        <v>1561</v>
      </c>
    </row>
    <row r="129" spans="1:12" ht="16.5" x14ac:dyDescent="0.35">
      <c r="A129" s="106" t="str">
        <f>HYPERLINK("https://www.examplebusiness.com/resource-center/lifestyle/lets-chat","https://www.examplebusiness.com/resource-center/lifestyle/lets-chat")</f>
        <v>https://www.examplebusiness.com/resource-center/lifestyle/lets-chat</v>
      </c>
      <c r="B129" s="34">
        <v>5</v>
      </c>
      <c r="C129" s="34">
        <v>0</v>
      </c>
      <c r="D129" s="34">
        <v>0</v>
      </c>
      <c r="E129" s="34">
        <v>0</v>
      </c>
      <c r="F129" s="34">
        <v>200</v>
      </c>
      <c r="G129" s="34">
        <v>0</v>
      </c>
      <c r="H129" s="34"/>
      <c r="I129" s="34" t="s">
        <v>1561</v>
      </c>
      <c r="J129" s="34" t="s">
        <v>1561</v>
      </c>
      <c r="K129" s="107" t="s">
        <v>1561</v>
      </c>
      <c r="L129" s="34" t="s">
        <v>1561</v>
      </c>
    </row>
    <row r="130" spans="1:12" ht="16.5" x14ac:dyDescent="0.35">
      <c r="A130" s="106" t="str">
        <f>HYPERLINK("https://www.examplebusiness.com/resource-center/retirement/18-years-worth-of-days","https://www.examplebusiness.com/resource-center/retirement/18-years-worth-of-days")</f>
        <v>https://www.examplebusiness.com/resource-center/retirement/18-years-worth-of-days</v>
      </c>
      <c r="B130" s="34">
        <v>5</v>
      </c>
      <c r="C130" s="34">
        <v>0</v>
      </c>
      <c r="D130" s="34">
        <v>0</v>
      </c>
      <c r="E130" s="34">
        <v>0</v>
      </c>
      <c r="F130" s="34">
        <v>200</v>
      </c>
      <c r="G130" s="34">
        <v>0</v>
      </c>
      <c r="H130" s="34"/>
      <c r="I130" s="34" t="s">
        <v>1561</v>
      </c>
      <c r="J130" s="34" t="s">
        <v>1561</v>
      </c>
      <c r="K130" s="107" t="s">
        <v>1561</v>
      </c>
      <c r="L130" s="34" t="s">
        <v>1561</v>
      </c>
    </row>
    <row r="131" spans="1:12" ht="16.5" x14ac:dyDescent="0.35">
      <c r="A131" s="106" t="str">
        <f>HYPERLINK("https://www.examplebusiness.com/resource-center/money/the-power-of-compound-interest","https://www.examplebusiness.com/resource-center/money/the-power-of-compound-interest")</f>
        <v>https://www.examplebusiness.com/resource-center/money/the-power-of-compound-interest</v>
      </c>
      <c r="B131" s="34">
        <v>5</v>
      </c>
      <c r="C131" s="34">
        <v>0</v>
      </c>
      <c r="D131" s="34">
        <v>0</v>
      </c>
      <c r="E131" s="34">
        <v>0</v>
      </c>
      <c r="F131" s="34">
        <v>200</v>
      </c>
      <c r="G131" s="34">
        <v>0</v>
      </c>
      <c r="H131" s="34"/>
      <c r="I131" s="34" t="s">
        <v>1561</v>
      </c>
      <c r="J131" s="34" t="s">
        <v>1561</v>
      </c>
      <c r="K131" s="107" t="s">
        <v>1561</v>
      </c>
      <c r="L131" s="34" t="s">
        <v>1561</v>
      </c>
    </row>
    <row r="132" spans="1:12" ht="16.5" x14ac:dyDescent="0.35">
      <c r="A132" s="106" t="str">
        <f>HYPERLINK("https://www.examplebusiness.com/resource-center/investment/should-you-invest-in-exchange-traded-funds","https://www.examplebusiness.com/resource-center/investment/should-you-invest-in-exchange-traded-funds")</f>
        <v>https://www.examplebusiness.com/resource-center/investment/should-you-invest-in-exchange-traded-funds</v>
      </c>
      <c r="B132" s="34">
        <v>5</v>
      </c>
      <c r="C132" s="34">
        <v>0</v>
      </c>
      <c r="D132" s="34">
        <v>0</v>
      </c>
      <c r="E132" s="34">
        <v>0</v>
      </c>
      <c r="F132" s="34">
        <v>200</v>
      </c>
      <c r="G132" s="34">
        <v>0</v>
      </c>
      <c r="H132" s="34"/>
      <c r="I132" s="34" t="s">
        <v>1561</v>
      </c>
      <c r="J132" s="34" t="s">
        <v>1561</v>
      </c>
      <c r="K132" s="107" t="s">
        <v>1561</v>
      </c>
      <c r="L132" s="34" t="s">
        <v>1561</v>
      </c>
    </row>
    <row r="133" spans="1:12" ht="16.5" x14ac:dyDescent="0.35">
      <c r="A133" s="106" t="str">
        <f>HYPERLINK("https://www.examplebusiness.com/resource-center/retirement/saving-for-retirement","https://www.examplebusiness.com/resource-center/retirement/saving-for-retirement")</f>
        <v>https://www.examplebusiness.com/resource-center/retirement/saving-for-retirement</v>
      </c>
      <c r="B133" s="34">
        <v>5</v>
      </c>
      <c r="C133" s="34">
        <v>0</v>
      </c>
      <c r="D133" s="34">
        <v>0</v>
      </c>
      <c r="E133" s="34">
        <v>0</v>
      </c>
      <c r="F133" s="34">
        <v>200</v>
      </c>
      <c r="G133" s="34">
        <v>0</v>
      </c>
      <c r="H133" s="34"/>
      <c r="I133" s="34" t="s">
        <v>1561</v>
      </c>
      <c r="J133" s="34" t="s">
        <v>1561</v>
      </c>
      <c r="K133" s="107" t="s">
        <v>1561</v>
      </c>
      <c r="L133" s="34" t="s">
        <v>1561</v>
      </c>
    </row>
    <row r="134" spans="1:12" ht="16.5" x14ac:dyDescent="0.35">
      <c r="A134" s="106" t="str">
        <f>HYPERLINK("https://www.examplebusiness.com/resource-center/lifestyle/suddenly-single-3-steps-to-take-now","https://www.examplebusiness.com/resource-center/lifestyle/suddenly-single-3-steps-to-take-now")</f>
        <v>https://www.examplebusiness.com/resource-center/lifestyle/suddenly-single-3-steps-to-take-now</v>
      </c>
      <c r="B134" s="34">
        <v>5</v>
      </c>
      <c r="C134" s="34">
        <v>0</v>
      </c>
      <c r="D134" s="34">
        <v>0</v>
      </c>
      <c r="E134" s="34">
        <v>0</v>
      </c>
      <c r="F134" s="34">
        <v>200</v>
      </c>
      <c r="G134" s="34">
        <v>0</v>
      </c>
      <c r="H134" s="34"/>
      <c r="I134" s="34" t="s">
        <v>1561</v>
      </c>
      <c r="J134" s="34" t="s">
        <v>1561</v>
      </c>
      <c r="K134" s="107" t="s">
        <v>1561</v>
      </c>
      <c r="L134" s="34" t="s">
        <v>1561</v>
      </c>
    </row>
    <row r="135" spans="1:12" ht="16.5" x14ac:dyDescent="0.35">
      <c r="A135" s="106" t="str">
        <f>HYPERLINK("https://www.examplebusiness.com/resource-center/investment/can-election-results-predict-the-market","https://www.examplebusiness.com/resource-center/investment/can-election-results-predict-the-market")</f>
        <v>https://www.examplebusiness.com/resource-center/investment/can-election-results-predict-the-market</v>
      </c>
      <c r="B135" s="34">
        <v>5</v>
      </c>
      <c r="C135" s="34">
        <v>0</v>
      </c>
      <c r="D135" s="34">
        <v>0</v>
      </c>
      <c r="E135" s="34">
        <v>0</v>
      </c>
      <c r="F135" s="34">
        <v>200</v>
      </c>
      <c r="G135" s="34">
        <v>0</v>
      </c>
      <c r="H135" s="34"/>
      <c r="I135" s="34">
        <v>0</v>
      </c>
      <c r="J135" s="34">
        <v>14</v>
      </c>
      <c r="K135" s="107">
        <v>0</v>
      </c>
      <c r="L135" s="34">
        <v>65.36</v>
      </c>
    </row>
    <row r="136" spans="1:12" ht="16.5" x14ac:dyDescent="0.35">
      <c r="A136" s="106" t="str">
        <f>HYPERLINK("https://www.examplebusiness.com/resource-center/insurance/disability-and-your-finances","https://www.examplebusiness.com/resource-center/insurance/disability-and-your-finances")</f>
        <v>https://www.examplebusiness.com/resource-center/insurance/disability-and-your-finances</v>
      </c>
      <c r="B136" s="34">
        <v>5</v>
      </c>
      <c r="C136" s="34">
        <v>0</v>
      </c>
      <c r="D136" s="34">
        <v>0</v>
      </c>
      <c r="E136" s="34">
        <v>0</v>
      </c>
      <c r="F136" s="34">
        <v>200</v>
      </c>
      <c r="G136" s="34">
        <v>0</v>
      </c>
      <c r="H136" s="34"/>
      <c r="I136" s="34" t="s">
        <v>1561</v>
      </c>
      <c r="J136" s="34" t="s">
        <v>1561</v>
      </c>
      <c r="K136" s="107" t="s">
        <v>1561</v>
      </c>
      <c r="L136" s="34" t="s">
        <v>1561</v>
      </c>
    </row>
    <row r="137" spans="1:12" ht="16.5" x14ac:dyDescent="0.35">
      <c r="A137" s="106" t="str">
        <f>HYPERLINK("https://www.examplebusiness.com/resource-center/investment/jane-bond-infiltrating-the-market","https://www.examplebusiness.com/resource-center/investment/jane-bond-infiltrating-the-market")</f>
        <v>https://www.examplebusiness.com/resource-center/investment/jane-bond-infiltrating-the-market</v>
      </c>
      <c r="B137" s="34">
        <v>5</v>
      </c>
      <c r="C137" s="34">
        <v>0</v>
      </c>
      <c r="D137" s="34">
        <v>0</v>
      </c>
      <c r="E137" s="34">
        <v>0</v>
      </c>
      <c r="F137" s="34">
        <v>200</v>
      </c>
      <c r="G137" s="34">
        <v>0</v>
      </c>
      <c r="H137" s="34"/>
      <c r="I137" s="34" t="s">
        <v>1561</v>
      </c>
      <c r="J137" s="34" t="s">
        <v>1561</v>
      </c>
      <c r="K137" s="107" t="s">
        <v>1561</v>
      </c>
      <c r="L137" s="34" t="s">
        <v>1561</v>
      </c>
    </row>
    <row r="138" spans="1:12" ht="16.5" x14ac:dyDescent="0.35">
      <c r="A138" s="106" t="str">
        <f>HYPERLINK("https://www.examplebusiness.com/resource-center/money/the-economic-journey-of-coffee","https://www.examplebusiness.com/resource-center/money/the-economic-journey-of-coffee")</f>
        <v>https://www.examplebusiness.com/resource-center/money/the-economic-journey-of-coffee</v>
      </c>
      <c r="B138" s="34">
        <v>5</v>
      </c>
      <c r="C138" s="34">
        <v>0</v>
      </c>
      <c r="D138" s="34">
        <v>0</v>
      </c>
      <c r="E138" s="34">
        <v>0</v>
      </c>
      <c r="F138" s="34">
        <v>200</v>
      </c>
      <c r="G138" s="34">
        <v>0</v>
      </c>
      <c r="H138" s="34"/>
      <c r="I138" s="34">
        <v>0</v>
      </c>
      <c r="J138" s="34">
        <v>1</v>
      </c>
      <c r="K138" s="107">
        <v>0</v>
      </c>
      <c r="L138" s="34">
        <v>2</v>
      </c>
    </row>
    <row r="139" spans="1:12" ht="16.5" x14ac:dyDescent="0.35">
      <c r="A139" s="106" t="str">
        <f>HYPERLINK("https://www.examplebusiness.com/resource-center/retirement/potential-income-from-an-ira","https://www.examplebusiness.com/resource-center/retirement/potential-income-from-an-ira")</f>
        <v>https://www.examplebusiness.com/resource-center/retirement/potential-income-from-an-ira</v>
      </c>
      <c r="B139" s="34">
        <v>5</v>
      </c>
      <c r="C139" s="34">
        <v>0</v>
      </c>
      <c r="D139" s="34">
        <v>0</v>
      </c>
      <c r="E139" s="34">
        <v>0</v>
      </c>
      <c r="F139" s="34">
        <v>200</v>
      </c>
      <c r="G139" s="34">
        <v>0</v>
      </c>
      <c r="H139" s="34"/>
      <c r="I139" s="34" t="s">
        <v>1561</v>
      </c>
      <c r="J139" s="34" t="s">
        <v>1561</v>
      </c>
      <c r="K139" s="107" t="s">
        <v>1561</v>
      </c>
      <c r="L139" s="34" t="s">
        <v>1561</v>
      </c>
    </row>
    <row r="140" spans="1:12" ht="16.5" x14ac:dyDescent="0.35">
      <c r="A140" s="106" t="str">
        <f>HYPERLINK("https://www.examplebusiness.com/resource-center/insurance/lifetime-of-earnings","https://www.examplebusiness.com/resource-center/insurance/lifetime-of-earnings")</f>
        <v>https://www.examplebusiness.com/resource-center/insurance/lifetime-of-earnings</v>
      </c>
      <c r="B140" s="34">
        <v>5</v>
      </c>
      <c r="C140" s="34">
        <v>0</v>
      </c>
      <c r="D140" s="34">
        <v>0</v>
      </c>
      <c r="E140" s="34">
        <v>0</v>
      </c>
      <c r="F140" s="34">
        <v>200</v>
      </c>
      <c r="G140" s="34">
        <v>0</v>
      </c>
      <c r="H140" s="34"/>
      <c r="I140" s="34">
        <v>0</v>
      </c>
      <c r="J140" s="34">
        <v>1</v>
      </c>
      <c r="K140" s="107">
        <v>0</v>
      </c>
      <c r="L140" s="34">
        <v>20</v>
      </c>
    </row>
    <row r="141" spans="1:12" ht="16.5" x14ac:dyDescent="0.35">
      <c r="A141" s="106" t="str">
        <f>HYPERLINK("https://www.examplebusiness.com/resource-center/money/u-s-personal-savings-rate","https://www.examplebusiness.com/resource-center/money/u-s-personal-savings-rate")</f>
        <v>https://www.examplebusiness.com/resource-center/money/u-s-personal-savings-rate</v>
      </c>
      <c r="B141" s="34">
        <v>5</v>
      </c>
      <c r="C141" s="34">
        <v>0</v>
      </c>
      <c r="D141" s="34">
        <v>0</v>
      </c>
      <c r="E141" s="34">
        <v>0</v>
      </c>
      <c r="F141" s="34">
        <v>200</v>
      </c>
      <c r="G141" s="34">
        <v>0</v>
      </c>
      <c r="H141" s="34"/>
      <c r="I141" s="34" t="s">
        <v>1561</v>
      </c>
      <c r="J141" s="34" t="s">
        <v>1561</v>
      </c>
      <c r="K141" s="107" t="s">
        <v>1561</v>
      </c>
      <c r="L141" s="34" t="s">
        <v>1561</v>
      </c>
    </row>
    <row r="142" spans="1:12" ht="16.5" x14ac:dyDescent="0.35">
      <c r="A142" s="106" t="str">
        <f>HYPERLINK("https://www.examplebusiness.com/resource-center/insurance/protecting-your-business-from-the-loss-of-a-key-person","https://www.examplebusiness.com/resource-center/insurance/protecting-your-business-from-the-loss-of-a-key-person")</f>
        <v>https://www.examplebusiness.com/resource-center/insurance/protecting-your-business-from-the-loss-of-a-key-person</v>
      </c>
      <c r="B142" s="34">
        <v>5</v>
      </c>
      <c r="C142" s="34">
        <v>0</v>
      </c>
      <c r="D142" s="34">
        <v>0</v>
      </c>
      <c r="E142" s="34">
        <v>0</v>
      </c>
      <c r="F142" s="34">
        <v>200</v>
      </c>
      <c r="G142" s="34">
        <v>0</v>
      </c>
      <c r="H142" s="34"/>
      <c r="I142" s="34" t="s">
        <v>1561</v>
      </c>
      <c r="J142" s="34" t="s">
        <v>1561</v>
      </c>
      <c r="K142" s="107" t="s">
        <v>1561</v>
      </c>
      <c r="L142" s="34" t="s">
        <v>1561</v>
      </c>
    </row>
    <row r="143" spans="1:12" ht="16.5" x14ac:dyDescent="0.35">
      <c r="A143" s="106" t="str">
        <f>HYPERLINK("https://www.examplebusiness.com/resource-center/retirement/inflation-back-to-the-future","https://www.examplebusiness.com/resource-center/retirement/inflation-back-to-the-future")</f>
        <v>https://www.examplebusiness.com/resource-center/retirement/inflation-back-to-the-future</v>
      </c>
      <c r="B143" s="34">
        <v>5</v>
      </c>
      <c r="C143" s="34">
        <v>0</v>
      </c>
      <c r="D143" s="34">
        <v>0</v>
      </c>
      <c r="E143" s="34">
        <v>0</v>
      </c>
      <c r="F143" s="34">
        <v>200</v>
      </c>
      <c r="G143" s="34">
        <v>0</v>
      </c>
      <c r="H143" s="34"/>
      <c r="I143" s="34" t="s">
        <v>1561</v>
      </c>
      <c r="J143" s="34" t="s">
        <v>1561</v>
      </c>
      <c r="K143" s="107" t="s">
        <v>1561</v>
      </c>
      <c r="L143" s="34" t="s">
        <v>1561</v>
      </c>
    </row>
    <row r="144" spans="1:12" ht="16.5" x14ac:dyDescent="0.35">
      <c r="A144" s="106" t="str">
        <f>HYPERLINK("https://www.examplebusiness.com/resource-center/retirement/retirement-redefined","https://www.examplebusiness.com/resource-center/retirement/retirement-redefined")</f>
        <v>https://www.examplebusiness.com/resource-center/retirement/retirement-redefined</v>
      </c>
      <c r="B144" s="34">
        <v>5</v>
      </c>
      <c r="C144" s="34">
        <v>0</v>
      </c>
      <c r="D144" s="34">
        <v>0</v>
      </c>
      <c r="E144" s="34">
        <v>0</v>
      </c>
      <c r="F144" s="34">
        <v>200</v>
      </c>
      <c r="G144" s="34">
        <v>0</v>
      </c>
      <c r="H144" s="34"/>
      <c r="I144" s="34" t="s">
        <v>1561</v>
      </c>
      <c r="J144" s="34" t="s">
        <v>1561</v>
      </c>
      <c r="K144" s="107" t="s">
        <v>1561</v>
      </c>
      <c r="L144" s="34" t="s">
        <v>1561</v>
      </c>
    </row>
    <row r="145" spans="1:12" ht="16.5" x14ac:dyDescent="0.35">
      <c r="A145" s="106" t="str">
        <f>HYPERLINK("https://www.examplebusiness.com/team/mike-rogers-1","https://www.examplebusiness.com/team/mike-rogers-1")</f>
        <v>https://www.examplebusiness.com/team/mike-rogers-1</v>
      </c>
      <c r="B145" s="34">
        <v>5</v>
      </c>
      <c r="C145" s="34">
        <v>0</v>
      </c>
      <c r="D145" s="34">
        <v>0</v>
      </c>
      <c r="E145" s="34">
        <v>0</v>
      </c>
      <c r="F145" s="34">
        <v>200</v>
      </c>
      <c r="G145" s="34">
        <v>0</v>
      </c>
      <c r="H145" s="34"/>
      <c r="I145" s="34">
        <v>3</v>
      </c>
      <c r="J145" s="34">
        <v>90</v>
      </c>
      <c r="K145" s="107">
        <v>3.3300000000000003E-2</v>
      </c>
      <c r="L145" s="34">
        <v>34.68</v>
      </c>
    </row>
    <row r="146" spans="1:12" ht="16.5" x14ac:dyDescent="0.35">
      <c r="A146" s="106" t="str">
        <f>HYPERLINK("https://www.examplebusiness.com/resource-center/investment/it-was-the-best-of-times-it-was-the-worst-of-times","https://www.examplebusiness.com/resource-center/investment/it-was-the-best-of-times-it-was-the-worst-of-times")</f>
        <v>https://www.examplebusiness.com/resource-center/investment/it-was-the-best-of-times-it-was-the-worst-of-times</v>
      </c>
      <c r="B146" s="34">
        <v>5</v>
      </c>
      <c r="C146" s="34">
        <v>0</v>
      </c>
      <c r="D146" s="34">
        <v>0</v>
      </c>
      <c r="E146" s="34">
        <v>0</v>
      </c>
      <c r="F146" s="34">
        <v>200</v>
      </c>
      <c r="G146" s="34">
        <v>0</v>
      </c>
      <c r="H146" s="34"/>
      <c r="I146" s="34" t="s">
        <v>1561</v>
      </c>
      <c r="J146" s="34" t="s">
        <v>1561</v>
      </c>
      <c r="K146" s="107" t="s">
        <v>1561</v>
      </c>
      <c r="L146" s="34" t="s">
        <v>1561</v>
      </c>
    </row>
    <row r="147" spans="1:12" ht="16.5" x14ac:dyDescent="0.35">
      <c r="A147" s="106" t="str">
        <f>HYPERLINK("https://www.examplebusiness.com/resource-center/insurance/retiree-health-care-coverage-overseas","https://www.examplebusiness.com/resource-center/insurance/retiree-health-care-coverage-overseas")</f>
        <v>https://www.examplebusiness.com/resource-center/insurance/retiree-health-care-coverage-overseas</v>
      </c>
      <c r="B147" s="34">
        <v>5</v>
      </c>
      <c r="C147" s="34">
        <v>0</v>
      </c>
      <c r="D147" s="34">
        <v>0</v>
      </c>
      <c r="E147" s="34">
        <v>0</v>
      </c>
      <c r="F147" s="34">
        <v>200</v>
      </c>
      <c r="G147" s="34">
        <v>0</v>
      </c>
      <c r="H147" s="34"/>
      <c r="I147" s="34" t="s">
        <v>1561</v>
      </c>
      <c r="J147" s="34" t="s">
        <v>1561</v>
      </c>
      <c r="K147" s="107" t="s">
        <v>1561</v>
      </c>
      <c r="L147" s="34" t="s">
        <v>1561</v>
      </c>
    </row>
    <row r="148" spans="1:12" ht="16.5" x14ac:dyDescent="0.35">
      <c r="A148" s="106" t="str">
        <f>HYPERLINK("https://www.examplebusiness.com/resource-center/insurance/assess-your-life-insurance-needs","https://www.examplebusiness.com/resource-center/insurance/assess-your-life-insurance-needs")</f>
        <v>https://www.examplebusiness.com/resource-center/insurance/assess-your-life-insurance-needs</v>
      </c>
      <c r="B148" s="34">
        <v>5</v>
      </c>
      <c r="C148" s="34">
        <v>0</v>
      </c>
      <c r="D148" s="34">
        <v>0</v>
      </c>
      <c r="E148" s="34">
        <v>0</v>
      </c>
      <c r="F148" s="34">
        <v>200</v>
      </c>
      <c r="G148" s="34">
        <v>0</v>
      </c>
      <c r="H148" s="34"/>
      <c r="I148" s="34">
        <v>0</v>
      </c>
      <c r="J148" s="34">
        <v>3</v>
      </c>
      <c r="K148" s="107">
        <v>0</v>
      </c>
      <c r="L148" s="34">
        <v>88.67</v>
      </c>
    </row>
    <row r="149" spans="1:12" ht="16.5" x14ac:dyDescent="0.35">
      <c r="A149" s="106" t="str">
        <f>HYPERLINK("https://www.examplebusiness.com/resource-center/lifestyle/putting-a-price-tag-on-your-health","https://www.examplebusiness.com/resource-center/lifestyle/putting-a-price-tag-on-your-health")</f>
        <v>https://www.examplebusiness.com/resource-center/lifestyle/putting-a-price-tag-on-your-health</v>
      </c>
      <c r="B149" s="34">
        <v>5</v>
      </c>
      <c r="C149" s="34">
        <v>0</v>
      </c>
      <c r="D149" s="34">
        <v>0</v>
      </c>
      <c r="E149" s="34">
        <v>0</v>
      </c>
      <c r="F149" s="34">
        <v>200</v>
      </c>
      <c r="G149" s="34">
        <v>0</v>
      </c>
      <c r="H149" s="34"/>
      <c r="I149" s="34" t="s">
        <v>1561</v>
      </c>
      <c r="J149" s="34" t="s">
        <v>1561</v>
      </c>
      <c r="K149" s="107" t="s">
        <v>1561</v>
      </c>
      <c r="L149" s="34" t="s">
        <v>1561</v>
      </c>
    </row>
    <row r="150" spans="1:12" ht="16.5" x14ac:dyDescent="0.35">
      <c r="A150" s="106" t="str">
        <f>HYPERLINK("https://www.examplebusiness.com/resource-center/retirement/catch-up-contributions","https://www.examplebusiness.com/resource-center/retirement/catch-up-contributions")</f>
        <v>https://www.examplebusiness.com/resource-center/retirement/catch-up-contributions</v>
      </c>
      <c r="B150" s="34">
        <v>5</v>
      </c>
      <c r="C150" s="34">
        <v>0</v>
      </c>
      <c r="D150" s="34">
        <v>0</v>
      </c>
      <c r="E150" s="34">
        <v>0</v>
      </c>
      <c r="F150" s="34">
        <v>200</v>
      </c>
      <c r="G150" s="34">
        <v>0</v>
      </c>
      <c r="H150" s="34"/>
      <c r="I150" s="34" t="s">
        <v>1561</v>
      </c>
      <c r="J150" s="34" t="s">
        <v>1561</v>
      </c>
      <c r="K150" s="107" t="s">
        <v>1561</v>
      </c>
      <c r="L150" s="34" t="s">
        <v>1561</v>
      </c>
    </row>
    <row r="151" spans="1:12" ht="16.5" x14ac:dyDescent="0.35">
      <c r="A151" s="106" t="str">
        <f>HYPERLINK("https://www.examplebusiness.com/resource-center/retirement/your-changing-definition-of-risk-in-retirement","https://www.examplebusiness.com/resource-center/retirement/your-changing-definition-of-risk-in-retirement")</f>
        <v>https://www.examplebusiness.com/resource-center/retirement/your-changing-definition-of-risk-in-retirement</v>
      </c>
      <c r="B151" s="34">
        <v>5</v>
      </c>
      <c r="C151" s="34">
        <v>0</v>
      </c>
      <c r="D151" s="34">
        <v>0</v>
      </c>
      <c r="E151" s="34">
        <v>0</v>
      </c>
      <c r="F151" s="34">
        <v>200</v>
      </c>
      <c r="G151" s="34">
        <v>0</v>
      </c>
      <c r="H151" s="34"/>
      <c r="I151" s="34" t="s">
        <v>1561</v>
      </c>
      <c r="J151" s="34" t="s">
        <v>1561</v>
      </c>
      <c r="K151" s="107" t="s">
        <v>1561</v>
      </c>
      <c r="L151" s="34" t="s">
        <v>1561</v>
      </c>
    </row>
    <row r="152" spans="1:12" ht="16.5" x14ac:dyDescent="0.35">
      <c r="A152" s="106" t="str">
        <f>HYPERLINK("https://www.examplebusiness.com/resource-center/insurance/planning-for-the-expected","https://www.examplebusiness.com/resource-center/insurance/planning-for-the-expected")</f>
        <v>https://www.examplebusiness.com/resource-center/insurance/planning-for-the-expected</v>
      </c>
      <c r="B152" s="34">
        <v>5</v>
      </c>
      <c r="C152" s="34">
        <v>0</v>
      </c>
      <c r="D152" s="34">
        <v>0</v>
      </c>
      <c r="E152" s="34">
        <v>0</v>
      </c>
      <c r="F152" s="34">
        <v>200</v>
      </c>
      <c r="G152" s="34">
        <v>0</v>
      </c>
      <c r="H152" s="34"/>
      <c r="I152" s="34" t="s">
        <v>1561</v>
      </c>
      <c r="J152" s="34" t="s">
        <v>1561</v>
      </c>
      <c r="K152" s="107" t="s">
        <v>1561</v>
      </c>
      <c r="L152" s="34" t="s">
        <v>1561</v>
      </c>
    </row>
    <row r="153" spans="1:12" ht="16.5" x14ac:dyDescent="0.35">
      <c r="A153" s="106" t="str">
        <f>HYPERLINK("https://www.examplebusiness.com/resource-center/lifestyle/keeping-good-records-is-good-business","https://www.examplebusiness.com/resource-center/lifestyle/keeping-good-records-is-good-business")</f>
        <v>https://www.examplebusiness.com/resource-center/lifestyle/keeping-good-records-is-good-business</v>
      </c>
      <c r="B153" s="34">
        <v>5</v>
      </c>
      <c r="C153" s="34">
        <v>0</v>
      </c>
      <c r="D153" s="34">
        <v>0</v>
      </c>
      <c r="E153" s="34">
        <v>0</v>
      </c>
      <c r="F153" s="34">
        <v>200</v>
      </c>
      <c r="G153" s="34">
        <v>0</v>
      </c>
      <c r="H153" s="34"/>
      <c r="I153" s="34" t="s">
        <v>1561</v>
      </c>
      <c r="J153" s="34" t="s">
        <v>1561</v>
      </c>
      <c r="K153" s="107" t="s">
        <v>1561</v>
      </c>
      <c r="L153" s="34" t="s">
        <v>1561</v>
      </c>
    </row>
    <row r="154" spans="1:12" ht="16.5" x14ac:dyDescent="0.35">
      <c r="A154" s="106" t="str">
        <f>HYPERLINK("https://www.examplebusiness.com/resource-center/tax/tax-freedom-day","https://www.examplebusiness.com/resource-center/tax/tax-freedom-day")</f>
        <v>https://www.examplebusiness.com/resource-center/tax/tax-freedom-day</v>
      </c>
      <c r="B154" s="34">
        <v>5</v>
      </c>
      <c r="C154" s="34">
        <v>0</v>
      </c>
      <c r="D154" s="34">
        <v>0</v>
      </c>
      <c r="E154" s="34">
        <v>0</v>
      </c>
      <c r="F154" s="34">
        <v>200</v>
      </c>
      <c r="G154" s="34">
        <v>0</v>
      </c>
      <c r="H154" s="34"/>
      <c r="I154" s="34" t="s">
        <v>1561</v>
      </c>
      <c r="J154" s="34" t="s">
        <v>1561</v>
      </c>
      <c r="K154" s="107" t="s">
        <v>1561</v>
      </c>
      <c r="L154" s="34" t="s">
        <v>1561</v>
      </c>
    </row>
    <row r="155" spans="1:12" ht="16.5" x14ac:dyDescent="0.35">
      <c r="A155" s="106" t="str">
        <f>HYPERLINK("https://www.examplebusiness.com/resource-center/retirement/social-security-by-the-numbers","https://www.examplebusiness.com/resource-center/retirement/social-security-by-the-numbers")</f>
        <v>https://www.examplebusiness.com/resource-center/retirement/social-security-by-the-numbers</v>
      </c>
      <c r="B155" s="34">
        <v>5</v>
      </c>
      <c r="C155" s="34">
        <v>0</v>
      </c>
      <c r="D155" s="34">
        <v>0</v>
      </c>
      <c r="E155" s="34">
        <v>0</v>
      </c>
      <c r="F155" s="34">
        <v>200</v>
      </c>
      <c r="G155" s="34">
        <v>0</v>
      </c>
      <c r="H155" s="34"/>
      <c r="I155" s="34" t="s">
        <v>1561</v>
      </c>
      <c r="J155" s="34" t="s">
        <v>1561</v>
      </c>
      <c r="K155" s="107" t="s">
        <v>1561</v>
      </c>
      <c r="L155" s="34" t="s">
        <v>1561</v>
      </c>
    </row>
    <row r="156" spans="1:12" ht="16.5" x14ac:dyDescent="0.35">
      <c r="A156" s="106" t="str">
        <f>HYPERLINK("https://www.examplebusiness.com/resource-center/retirement/ira-withdrawals-that-escape-the-10-percent-tax-penalty","https://www.examplebusiness.com/resource-center/retirement/ira-withdrawals-that-escape-the-10-percent-tax-penalty")</f>
        <v>https://www.examplebusiness.com/resource-center/retirement/ira-withdrawals-that-escape-the-10-percent-tax-penalty</v>
      </c>
      <c r="B156" s="34">
        <v>5</v>
      </c>
      <c r="C156" s="34">
        <v>0</v>
      </c>
      <c r="D156" s="34">
        <v>0</v>
      </c>
      <c r="E156" s="34">
        <v>0</v>
      </c>
      <c r="F156" s="34">
        <v>200</v>
      </c>
      <c r="G156" s="34">
        <v>0</v>
      </c>
      <c r="H156" s="34"/>
      <c r="I156" s="34" t="s">
        <v>1561</v>
      </c>
      <c r="J156" s="34" t="s">
        <v>1561</v>
      </c>
      <c r="K156" s="107" t="s">
        <v>1561</v>
      </c>
      <c r="L156" s="34" t="s">
        <v>1561</v>
      </c>
    </row>
    <row r="157" spans="1:12" ht="16.5" x14ac:dyDescent="0.35">
      <c r="A157" s="106" t="str">
        <f>HYPERLINK("https://www.examplebusiness.com/team/john-vanderpoel","https://www.examplebusiness.com/team/john-vanderpoel")</f>
        <v>https://www.examplebusiness.com/team/john-vanderpoel</v>
      </c>
      <c r="B157" s="34">
        <v>5</v>
      </c>
      <c r="C157" s="34">
        <v>0</v>
      </c>
      <c r="D157" s="34">
        <v>0</v>
      </c>
      <c r="E157" s="34">
        <v>0</v>
      </c>
      <c r="F157" s="34">
        <v>200</v>
      </c>
      <c r="G157" s="34">
        <v>0</v>
      </c>
      <c r="H157" s="34"/>
      <c r="I157" s="34">
        <v>0</v>
      </c>
      <c r="J157" s="34">
        <v>9</v>
      </c>
      <c r="K157" s="107">
        <v>0</v>
      </c>
      <c r="L157" s="34">
        <v>46.33</v>
      </c>
    </row>
    <row r="158" spans="1:12" ht="16.5" x14ac:dyDescent="0.35">
      <c r="A158" s="106" t="str">
        <f>HYPERLINK("https://www.examplebusiness.com/resource-center/money/historical-inflation","https://www.examplebusiness.com/resource-center/money/historical-inflation")</f>
        <v>https://www.examplebusiness.com/resource-center/money/historical-inflation</v>
      </c>
      <c r="B158" s="34">
        <v>5</v>
      </c>
      <c r="C158" s="34">
        <v>0</v>
      </c>
      <c r="D158" s="34">
        <v>0</v>
      </c>
      <c r="E158" s="34">
        <v>0</v>
      </c>
      <c r="F158" s="34">
        <v>200</v>
      </c>
      <c r="G158" s="34">
        <v>0</v>
      </c>
      <c r="H158" s="34"/>
      <c r="I158" s="34" t="s">
        <v>1561</v>
      </c>
      <c r="J158" s="34" t="s">
        <v>1561</v>
      </c>
      <c r="K158" s="107" t="s">
        <v>1561</v>
      </c>
      <c r="L158" s="34" t="s">
        <v>1561</v>
      </c>
    </row>
    <row r="159" spans="1:12" ht="16.5" x14ac:dyDescent="0.35">
      <c r="A159" s="106" t="str">
        <f>HYPERLINK("https://www.examplebusiness.com/resource-center/retirement/choosing-a-retirement-plan-that-fits-your-business","https://www.examplebusiness.com/resource-center/retirement/choosing-a-retirement-plan-that-fits-your-business")</f>
        <v>https://www.examplebusiness.com/resource-center/retirement/choosing-a-retirement-plan-that-fits-your-business</v>
      </c>
      <c r="B159" s="34">
        <v>5</v>
      </c>
      <c r="C159" s="34">
        <v>0</v>
      </c>
      <c r="D159" s="34">
        <v>0</v>
      </c>
      <c r="E159" s="34">
        <v>0</v>
      </c>
      <c r="F159" s="34">
        <v>200</v>
      </c>
      <c r="G159" s="34">
        <v>0</v>
      </c>
      <c r="H159" s="34"/>
      <c r="I159" s="34" t="s">
        <v>1561</v>
      </c>
      <c r="J159" s="34" t="s">
        <v>1561</v>
      </c>
      <c r="K159" s="107" t="s">
        <v>1561</v>
      </c>
      <c r="L159" s="34" t="s">
        <v>1561</v>
      </c>
    </row>
    <row r="160" spans="1:12" ht="16.5" x14ac:dyDescent="0.35">
      <c r="A160" s="106" t="str">
        <f>HYPERLINK("https://www.examplebusiness.com/resource-center/tax/capital-gains-tax-estimator","https://www.examplebusiness.com/resource-center/tax/capital-gains-tax-estimator")</f>
        <v>https://www.examplebusiness.com/resource-center/tax/capital-gains-tax-estimator</v>
      </c>
      <c r="B160" s="34">
        <v>5</v>
      </c>
      <c r="C160" s="34">
        <v>0</v>
      </c>
      <c r="D160" s="34">
        <v>0</v>
      </c>
      <c r="E160" s="34">
        <v>0</v>
      </c>
      <c r="F160" s="34">
        <v>200</v>
      </c>
      <c r="G160" s="34">
        <v>0</v>
      </c>
      <c r="H160" s="34"/>
      <c r="I160" s="34" t="s">
        <v>1561</v>
      </c>
      <c r="J160" s="34" t="s">
        <v>1561</v>
      </c>
      <c r="K160" s="107" t="s">
        <v>1561</v>
      </c>
      <c r="L160" s="34" t="s">
        <v>1561</v>
      </c>
    </row>
    <row r="161" spans="1:12" ht="16.5" x14ac:dyDescent="0.35">
      <c r="A161" s="106" t="str">
        <f>HYPERLINK("https://www.examplebusiness.com/resource-center/retirement/social-security-how-much-will-i-receive","https://www.examplebusiness.com/resource-center/retirement/social-security-how-much-will-i-receive")</f>
        <v>https://www.examplebusiness.com/resource-center/retirement/social-security-how-much-will-i-receive</v>
      </c>
      <c r="B161" s="34">
        <v>5</v>
      </c>
      <c r="C161" s="34">
        <v>0</v>
      </c>
      <c r="D161" s="34">
        <v>0</v>
      </c>
      <c r="E161" s="34">
        <v>0</v>
      </c>
      <c r="F161" s="34">
        <v>200</v>
      </c>
      <c r="G161" s="34">
        <v>0</v>
      </c>
      <c r="H161" s="34"/>
      <c r="I161" s="34">
        <v>0</v>
      </c>
      <c r="J161" s="34">
        <v>2</v>
      </c>
      <c r="K161" s="107">
        <v>0</v>
      </c>
      <c r="L161" s="34">
        <v>72</v>
      </c>
    </row>
    <row r="162" spans="1:12" ht="16.5" x14ac:dyDescent="0.35">
      <c r="A162" s="106" t="str">
        <f>HYPERLINK("https://www.examplebusiness.com/resource-center/money/surprise-youve-got-money","https://www.examplebusiness.com/resource-center/money/surprise-youve-got-money")</f>
        <v>https://www.examplebusiness.com/resource-center/money/surprise-youve-got-money</v>
      </c>
      <c r="B162" s="34">
        <v>5</v>
      </c>
      <c r="C162" s="34">
        <v>0</v>
      </c>
      <c r="D162" s="34">
        <v>0</v>
      </c>
      <c r="E162" s="34">
        <v>0</v>
      </c>
      <c r="F162" s="34">
        <v>200</v>
      </c>
      <c r="G162" s="34">
        <v>0</v>
      </c>
      <c r="H162" s="34"/>
      <c r="I162" s="34" t="s">
        <v>1561</v>
      </c>
      <c r="J162" s="34" t="s">
        <v>1561</v>
      </c>
      <c r="K162" s="107" t="s">
        <v>1561</v>
      </c>
      <c r="L162" s="34" t="s">
        <v>1561</v>
      </c>
    </row>
    <row r="163" spans="1:12" ht="16.5" x14ac:dyDescent="0.35">
      <c r="A163" s="106" t="str">
        <f>HYPERLINK("https://www.examplebusiness.com/resource-center/insurance/insurance-needs-assessment-when-youre-young-and-single","https://www.examplebusiness.com/resource-center/insurance/insurance-needs-assessment-when-youre-young-and-single")</f>
        <v>https://www.examplebusiness.com/resource-center/insurance/insurance-needs-assessment-when-youre-young-and-single</v>
      </c>
      <c r="B163" s="34">
        <v>5</v>
      </c>
      <c r="C163" s="34">
        <v>0</v>
      </c>
      <c r="D163" s="34">
        <v>0</v>
      </c>
      <c r="E163" s="34">
        <v>0</v>
      </c>
      <c r="F163" s="34">
        <v>200</v>
      </c>
      <c r="G163" s="34">
        <v>0</v>
      </c>
      <c r="H163" s="34"/>
      <c r="I163" s="34" t="s">
        <v>1561</v>
      </c>
      <c r="J163" s="34" t="s">
        <v>1561</v>
      </c>
      <c r="K163" s="107" t="s">
        <v>1561</v>
      </c>
      <c r="L163" s="34" t="s">
        <v>1561</v>
      </c>
    </row>
    <row r="164" spans="1:12" ht="16.5" x14ac:dyDescent="0.35">
      <c r="A164" s="106" t="str">
        <f>HYPERLINK("https://www.examplebusiness.com/resource-center/lifestyle/what-to-do-when-you-lose-your-wallet","https://www.examplebusiness.com/resource-center/lifestyle/what-to-do-when-you-lose-your-wallet")</f>
        <v>https://www.examplebusiness.com/resource-center/lifestyle/what-to-do-when-you-lose-your-wallet</v>
      </c>
      <c r="B164" s="34">
        <v>5</v>
      </c>
      <c r="C164" s="34">
        <v>0</v>
      </c>
      <c r="D164" s="34">
        <v>0</v>
      </c>
      <c r="E164" s="34">
        <v>0</v>
      </c>
      <c r="F164" s="34">
        <v>200</v>
      </c>
      <c r="G164" s="34">
        <v>0</v>
      </c>
      <c r="H164" s="34"/>
      <c r="I164" s="34" t="s">
        <v>1561</v>
      </c>
      <c r="J164" s="34" t="s">
        <v>1561</v>
      </c>
      <c r="K164" s="107" t="s">
        <v>1561</v>
      </c>
      <c r="L164" s="34" t="s">
        <v>1561</v>
      </c>
    </row>
    <row r="165" spans="1:12" ht="16.5" x14ac:dyDescent="0.35">
      <c r="A165" s="106" t="str">
        <f>HYPERLINK("https://www.examplebusiness.com/resource-center/money/how-big-is-money","https://www.examplebusiness.com/resource-center/money/how-big-is-money")</f>
        <v>https://www.examplebusiness.com/resource-center/money/how-big-is-money</v>
      </c>
      <c r="B165" s="34">
        <v>5</v>
      </c>
      <c r="C165" s="34">
        <v>0</v>
      </c>
      <c r="D165" s="34">
        <v>0</v>
      </c>
      <c r="E165" s="34">
        <v>0</v>
      </c>
      <c r="F165" s="34">
        <v>200</v>
      </c>
      <c r="G165" s="34">
        <v>0</v>
      </c>
      <c r="H165" s="34"/>
      <c r="I165" s="34" t="s">
        <v>1561</v>
      </c>
      <c r="J165" s="34" t="s">
        <v>1561</v>
      </c>
      <c r="K165" s="107" t="s">
        <v>1561</v>
      </c>
      <c r="L165" s="34" t="s">
        <v>1561</v>
      </c>
    </row>
    <row r="166" spans="1:12" ht="16.5" x14ac:dyDescent="0.35">
      <c r="A166" s="106" t="str">
        <f>HYPERLINK("https://www.examplebusiness.com/resource-center/investment/events-on-wall-street","https://www.examplebusiness.com/resource-center/investment/events-on-wall-street")</f>
        <v>https://www.examplebusiness.com/resource-center/investment/events-on-wall-street</v>
      </c>
      <c r="B166" s="34">
        <v>5</v>
      </c>
      <c r="C166" s="34">
        <v>0</v>
      </c>
      <c r="D166" s="34">
        <v>0</v>
      </c>
      <c r="E166" s="34">
        <v>0</v>
      </c>
      <c r="F166" s="34">
        <v>200</v>
      </c>
      <c r="G166" s="34">
        <v>0</v>
      </c>
      <c r="H166" s="34"/>
      <c r="I166" s="34" t="s">
        <v>1561</v>
      </c>
      <c r="J166" s="34" t="s">
        <v>1561</v>
      </c>
      <c r="K166" s="107" t="s">
        <v>1561</v>
      </c>
      <c r="L166" s="34" t="s">
        <v>1561</v>
      </c>
    </row>
    <row r="167" spans="1:12" ht="16.5" x14ac:dyDescent="0.35">
      <c r="A167" s="106" t="str">
        <f>HYPERLINK("https://www.examplebusiness.com/resource-center/investment/taxable-vs-tax-deferred-savings","https://www.examplebusiness.com/resource-center/investment/taxable-vs-tax-deferred-savings")</f>
        <v>https://www.examplebusiness.com/resource-center/investment/taxable-vs-tax-deferred-savings</v>
      </c>
      <c r="B167" s="34">
        <v>5</v>
      </c>
      <c r="C167" s="34">
        <v>0</v>
      </c>
      <c r="D167" s="34">
        <v>0</v>
      </c>
      <c r="E167" s="34">
        <v>0</v>
      </c>
      <c r="F167" s="34">
        <v>200</v>
      </c>
      <c r="G167" s="34">
        <v>0</v>
      </c>
      <c r="H167" s="34"/>
      <c r="I167" s="34" t="s">
        <v>1561</v>
      </c>
      <c r="J167" s="34" t="s">
        <v>1561</v>
      </c>
      <c r="K167" s="107" t="s">
        <v>1561</v>
      </c>
      <c r="L167" s="34" t="s">
        <v>1561</v>
      </c>
    </row>
    <row r="168" spans="1:12" ht="16.5" x14ac:dyDescent="0.35">
      <c r="A168" s="106" t="str">
        <f>HYPERLINK("https://www.examplebusiness.com/resource-center/lifestyle/acres-of-diamonds","https://www.examplebusiness.com/resource-center/lifestyle/acres-of-diamonds")</f>
        <v>https://www.examplebusiness.com/resource-center/lifestyle/acres-of-diamonds</v>
      </c>
      <c r="B168" s="34">
        <v>5</v>
      </c>
      <c r="C168" s="34">
        <v>0</v>
      </c>
      <c r="D168" s="34">
        <v>0</v>
      </c>
      <c r="E168" s="34">
        <v>0</v>
      </c>
      <c r="F168" s="34">
        <v>200</v>
      </c>
      <c r="G168" s="34">
        <v>0</v>
      </c>
      <c r="H168" s="34"/>
      <c r="I168" s="34" t="s">
        <v>1561</v>
      </c>
      <c r="J168" s="34" t="s">
        <v>1561</v>
      </c>
      <c r="K168" s="107" t="s">
        <v>1561</v>
      </c>
      <c r="L168" s="34" t="s">
        <v>1561</v>
      </c>
    </row>
    <row r="169" spans="1:12" ht="16.5" x14ac:dyDescent="0.35">
      <c r="A169" s="106" t="str">
        <f>HYPERLINK("https://www.examplebusiness.com/resource-center/tax/donating-art-taxation-abstraction","https://www.examplebusiness.com/resource-center/tax/donating-art-taxation-abstraction")</f>
        <v>https://www.examplebusiness.com/resource-center/tax/donating-art-taxation-abstraction</v>
      </c>
      <c r="B169" s="34">
        <v>5</v>
      </c>
      <c r="C169" s="34">
        <v>0</v>
      </c>
      <c r="D169" s="34">
        <v>0</v>
      </c>
      <c r="E169" s="34">
        <v>0</v>
      </c>
      <c r="F169" s="34">
        <v>200</v>
      </c>
      <c r="G169" s="34">
        <v>0</v>
      </c>
      <c r="H169" s="34"/>
      <c r="I169" s="34" t="s">
        <v>1561</v>
      </c>
      <c r="J169" s="34" t="s">
        <v>1561</v>
      </c>
      <c r="K169" s="107" t="s">
        <v>1561</v>
      </c>
      <c r="L169" s="34" t="s">
        <v>1561</v>
      </c>
    </row>
    <row r="170" spans="1:12" ht="16.5" x14ac:dyDescent="0.35">
      <c r="A170" s="106" t="str">
        <f>HYPERLINK("https://www.examplebusiness.com/resource-center/insurance/insurance-needs-assessment-when-youre-newly-married","https://www.examplebusiness.com/resource-center/insurance/insurance-needs-assessment-when-youre-newly-married")</f>
        <v>https://www.examplebusiness.com/resource-center/insurance/insurance-needs-assessment-when-youre-newly-married</v>
      </c>
      <c r="B170" s="34">
        <v>5</v>
      </c>
      <c r="C170" s="34">
        <v>0</v>
      </c>
      <c r="D170" s="34">
        <v>0</v>
      </c>
      <c r="E170" s="34">
        <v>0</v>
      </c>
      <c r="F170" s="34">
        <v>200</v>
      </c>
      <c r="G170" s="34">
        <v>0</v>
      </c>
      <c r="H170" s="34"/>
      <c r="I170" s="34" t="s">
        <v>1561</v>
      </c>
      <c r="J170" s="34" t="s">
        <v>1561</v>
      </c>
      <c r="K170" s="107" t="s">
        <v>1561</v>
      </c>
      <c r="L170" s="34" t="s">
        <v>1561</v>
      </c>
    </row>
    <row r="171" spans="1:12" ht="16.5" x14ac:dyDescent="0.35">
      <c r="A171" s="106" t="str">
        <f>HYPERLINK("https://www.examplebusiness.com/resource-center/lifestyle/should-i-pay-off-debt-or-invest","https://www.examplebusiness.com/resource-center/lifestyle/should-i-pay-off-debt-or-invest")</f>
        <v>https://www.examplebusiness.com/resource-center/lifestyle/should-i-pay-off-debt-or-invest</v>
      </c>
      <c r="B171" s="34">
        <v>5</v>
      </c>
      <c r="C171" s="34">
        <v>0</v>
      </c>
      <c r="D171" s="34">
        <v>0</v>
      </c>
      <c r="E171" s="34">
        <v>0</v>
      </c>
      <c r="F171" s="34">
        <v>200</v>
      </c>
      <c r="G171" s="34">
        <v>0</v>
      </c>
      <c r="H171" s="34"/>
      <c r="I171" s="34" t="s">
        <v>1561</v>
      </c>
      <c r="J171" s="34" t="s">
        <v>1561</v>
      </c>
      <c r="K171" s="107" t="s">
        <v>1561</v>
      </c>
      <c r="L171" s="34" t="s">
        <v>1561</v>
      </c>
    </row>
    <row r="172" spans="1:12" ht="16.5" x14ac:dyDescent="0.35">
      <c r="A172" s="106" t="str">
        <f>HYPERLINK("https://www.examplebusiness.com/resource-center/insurance/test-your-life-insurance-knowledge","https://www.examplebusiness.com/resource-center/insurance/test-your-life-insurance-knowledge")</f>
        <v>https://www.examplebusiness.com/resource-center/insurance/test-your-life-insurance-knowledge</v>
      </c>
      <c r="B172" s="34">
        <v>5</v>
      </c>
      <c r="C172" s="34">
        <v>0</v>
      </c>
      <c r="D172" s="34">
        <v>0</v>
      </c>
      <c r="E172" s="34">
        <v>0</v>
      </c>
      <c r="F172" s="34">
        <v>200</v>
      </c>
      <c r="G172" s="34">
        <v>0</v>
      </c>
      <c r="H172" s="34"/>
      <c r="I172" s="34" t="s">
        <v>1561</v>
      </c>
      <c r="J172" s="34" t="s">
        <v>1561</v>
      </c>
      <c r="K172" s="107" t="s">
        <v>1561</v>
      </c>
      <c r="L172" s="34" t="s">
        <v>1561</v>
      </c>
    </row>
    <row r="173" spans="1:12" ht="16.5" x14ac:dyDescent="0.35">
      <c r="A173" s="106" t="str">
        <f>HYPERLINK("https://www.examplebusiness.com/resource-center/investment/rebalancing-your-portfolio","https://www.examplebusiness.com/resource-center/investment/rebalancing-your-portfolio")</f>
        <v>https://www.examplebusiness.com/resource-center/investment/rebalancing-your-portfolio</v>
      </c>
      <c r="B173" s="34">
        <v>5</v>
      </c>
      <c r="C173" s="34">
        <v>0</v>
      </c>
      <c r="D173" s="34">
        <v>0</v>
      </c>
      <c r="E173" s="34">
        <v>0</v>
      </c>
      <c r="F173" s="34">
        <v>200</v>
      </c>
      <c r="G173" s="34">
        <v>0</v>
      </c>
      <c r="H173" s="34"/>
      <c r="I173" s="34">
        <v>0</v>
      </c>
      <c r="J173" s="34">
        <v>13</v>
      </c>
      <c r="K173" s="107">
        <v>0</v>
      </c>
      <c r="L173" s="34">
        <v>66</v>
      </c>
    </row>
    <row r="174" spans="1:12" ht="16.5" x14ac:dyDescent="0.35">
      <c r="A174" s="106" t="str">
        <f>HYPERLINK("https://www.examplebusiness.com/resource-center/investment/jane-bond-scaling-the-ladder","https://www.examplebusiness.com/resource-center/investment/jane-bond-scaling-the-ladder")</f>
        <v>https://www.examplebusiness.com/resource-center/investment/jane-bond-scaling-the-ladder</v>
      </c>
      <c r="B174" s="34">
        <v>5</v>
      </c>
      <c r="C174" s="34">
        <v>0</v>
      </c>
      <c r="D174" s="34">
        <v>0</v>
      </c>
      <c r="E174" s="34">
        <v>0</v>
      </c>
      <c r="F174" s="34">
        <v>200</v>
      </c>
      <c r="G174" s="34">
        <v>0</v>
      </c>
      <c r="H174" s="34"/>
      <c r="I174" s="34" t="s">
        <v>1561</v>
      </c>
      <c r="J174" s="34" t="s">
        <v>1561</v>
      </c>
      <c r="K174" s="107" t="s">
        <v>1561</v>
      </c>
      <c r="L174" s="34" t="s">
        <v>1561</v>
      </c>
    </row>
    <row r="175" spans="1:12" ht="16.5" x14ac:dyDescent="0.35">
      <c r="A175" s="106" t="str">
        <f>HYPERLINK("https://www.examplebusiness.com/resource-center/lifestyle/coaches","https://www.examplebusiness.com/resource-center/lifestyle/coaches")</f>
        <v>https://www.examplebusiness.com/resource-center/lifestyle/coaches</v>
      </c>
      <c r="B175" s="34">
        <v>5</v>
      </c>
      <c r="C175" s="34">
        <v>0</v>
      </c>
      <c r="D175" s="34">
        <v>0</v>
      </c>
      <c r="E175" s="34">
        <v>0</v>
      </c>
      <c r="F175" s="34">
        <v>200</v>
      </c>
      <c r="G175" s="34">
        <v>0</v>
      </c>
      <c r="H175" s="34"/>
      <c r="I175" s="34" t="s">
        <v>1561</v>
      </c>
      <c r="J175" s="34" t="s">
        <v>1561</v>
      </c>
      <c r="K175" s="107" t="s">
        <v>1561</v>
      </c>
      <c r="L175" s="34" t="s">
        <v>1561</v>
      </c>
    </row>
    <row r="176" spans="1:12" ht="16.5" x14ac:dyDescent="0.35">
      <c r="A176" s="106" t="str">
        <f>HYPERLINK("https://www.examplebusiness.com/resource-center/lifestyle/comparing-mortgage-terms","https://www.examplebusiness.com/resource-center/lifestyle/comparing-mortgage-terms")</f>
        <v>https://www.examplebusiness.com/resource-center/lifestyle/comparing-mortgage-terms</v>
      </c>
      <c r="B176" s="34">
        <v>5</v>
      </c>
      <c r="C176" s="34">
        <v>0</v>
      </c>
      <c r="D176" s="34">
        <v>0</v>
      </c>
      <c r="E176" s="34">
        <v>0</v>
      </c>
      <c r="F176" s="34">
        <v>200</v>
      </c>
      <c r="G176" s="34">
        <v>0</v>
      </c>
      <c r="H176" s="34"/>
      <c r="I176" s="34" t="s">
        <v>1561</v>
      </c>
      <c r="J176" s="34" t="s">
        <v>1561</v>
      </c>
      <c r="K176" s="107" t="s">
        <v>1561</v>
      </c>
      <c r="L176" s="34" t="s">
        <v>1561</v>
      </c>
    </row>
    <row r="177" spans="1:12" ht="16.5" x14ac:dyDescent="0.35">
      <c r="A177" s="106" t="str">
        <f>HYPERLINK("https://www.examplebusiness.com/resource-center/tax/social-security-taxes","https://www.examplebusiness.com/resource-center/tax/social-security-taxes")</f>
        <v>https://www.examplebusiness.com/resource-center/tax/social-security-taxes</v>
      </c>
      <c r="B177" s="34">
        <v>5</v>
      </c>
      <c r="C177" s="34">
        <v>0</v>
      </c>
      <c r="D177" s="34">
        <v>0</v>
      </c>
      <c r="E177" s="34">
        <v>0</v>
      </c>
      <c r="F177" s="34">
        <v>200</v>
      </c>
      <c r="G177" s="34">
        <v>0</v>
      </c>
      <c r="H177" s="34"/>
      <c r="I177" s="34" t="s">
        <v>1561</v>
      </c>
      <c r="J177" s="34" t="s">
        <v>1561</v>
      </c>
      <c r="K177" s="107" t="s">
        <v>1561</v>
      </c>
      <c r="L177" s="34" t="s">
        <v>1561</v>
      </c>
    </row>
    <row r="178" spans="1:12" ht="16.5" x14ac:dyDescent="0.35">
      <c r="A178" s="106" t="str">
        <f>HYPERLINK("https://www.examplebusiness.com/resource-center/investment/where-is-the-market-headed","https://www.examplebusiness.com/resource-center/investment/where-is-the-market-headed")</f>
        <v>https://www.examplebusiness.com/resource-center/investment/where-is-the-market-headed</v>
      </c>
      <c r="B178" s="34">
        <v>5</v>
      </c>
      <c r="C178" s="34">
        <v>0</v>
      </c>
      <c r="D178" s="34">
        <v>0</v>
      </c>
      <c r="E178" s="34">
        <v>0</v>
      </c>
      <c r="F178" s="34">
        <v>200</v>
      </c>
      <c r="G178" s="34">
        <v>0</v>
      </c>
      <c r="H178" s="34"/>
      <c r="I178" s="34" t="s">
        <v>1561</v>
      </c>
      <c r="J178" s="34" t="s">
        <v>1561</v>
      </c>
      <c r="K178" s="107" t="s">
        <v>1561</v>
      </c>
      <c r="L178" s="34" t="s">
        <v>1561</v>
      </c>
    </row>
    <row r="179" spans="1:12" ht="16.5" x14ac:dyDescent="0.35">
      <c r="A179" s="106" t="str">
        <f>HYPERLINK("https://www.examplebusiness.com/resource-center/money/weighing-the-benefits-of-prepaid-debit-cards","https://www.examplebusiness.com/resource-center/money/weighing-the-benefits-of-prepaid-debit-cards")</f>
        <v>https://www.examplebusiness.com/resource-center/money/weighing-the-benefits-of-prepaid-debit-cards</v>
      </c>
      <c r="B179" s="34">
        <v>5</v>
      </c>
      <c r="C179" s="34">
        <v>0</v>
      </c>
      <c r="D179" s="34">
        <v>0</v>
      </c>
      <c r="E179" s="34">
        <v>0</v>
      </c>
      <c r="F179" s="34">
        <v>200</v>
      </c>
      <c r="G179" s="34">
        <v>0</v>
      </c>
      <c r="H179" s="34"/>
      <c r="I179" s="34" t="s">
        <v>1561</v>
      </c>
      <c r="J179" s="34" t="s">
        <v>1561</v>
      </c>
      <c r="K179" s="107" t="s">
        <v>1561</v>
      </c>
      <c r="L179" s="34" t="s">
        <v>1561</v>
      </c>
    </row>
    <row r="180" spans="1:12" ht="16.5" x14ac:dyDescent="0.35">
      <c r="A180" s="106" t="str">
        <f>HYPERLINK("https://www.examplebusiness.com/resource-center/lifestyle/to-catch-a-thief","https://www.examplebusiness.com/resource-center/lifestyle/to-catch-a-thief")</f>
        <v>https://www.examplebusiness.com/resource-center/lifestyle/to-catch-a-thief</v>
      </c>
      <c r="B180" s="34">
        <v>5</v>
      </c>
      <c r="C180" s="34">
        <v>0</v>
      </c>
      <c r="D180" s="34">
        <v>0</v>
      </c>
      <c r="E180" s="34">
        <v>0</v>
      </c>
      <c r="F180" s="34">
        <v>200</v>
      </c>
      <c r="G180" s="34">
        <v>0</v>
      </c>
      <c r="H180" s="34"/>
      <c r="I180" s="34" t="s">
        <v>1561</v>
      </c>
      <c r="J180" s="34" t="s">
        <v>1561</v>
      </c>
      <c r="K180" s="107" t="s">
        <v>1561</v>
      </c>
      <c r="L180" s="34" t="s">
        <v>1561</v>
      </c>
    </row>
    <row r="181" spans="1:12" ht="16.5" x14ac:dyDescent="0.35">
      <c r="A181" s="106" t="str">
        <f>HYPERLINK("https://www.examplebusiness.com/resource-center/insurance/the-other-sure-thing","https://www.examplebusiness.com/resource-center/insurance/the-other-sure-thing")</f>
        <v>https://www.examplebusiness.com/resource-center/insurance/the-other-sure-thing</v>
      </c>
      <c r="B181" s="34">
        <v>5</v>
      </c>
      <c r="C181" s="34">
        <v>0</v>
      </c>
      <c r="D181" s="34">
        <v>0</v>
      </c>
      <c r="E181" s="34">
        <v>0</v>
      </c>
      <c r="F181" s="34">
        <v>200</v>
      </c>
      <c r="G181" s="34">
        <v>0</v>
      </c>
      <c r="H181" s="34"/>
      <c r="I181" s="34" t="s">
        <v>1561</v>
      </c>
      <c r="J181" s="34" t="s">
        <v>1561</v>
      </c>
      <c r="K181" s="107" t="s">
        <v>1561</v>
      </c>
      <c r="L181" s="34" t="s">
        <v>1561</v>
      </c>
    </row>
    <row r="182" spans="1:12" ht="16.5" x14ac:dyDescent="0.35">
      <c r="A182" s="106" t="str">
        <f>HYPERLINK("https://www.examplebusiness.com/resource-center/money/what-our-kids-can-teach-us-about-saving-money","https://www.examplebusiness.com/resource-center/money/what-our-kids-can-teach-us-about-saving-money")</f>
        <v>https://www.examplebusiness.com/resource-center/money/what-our-kids-can-teach-us-about-saving-money</v>
      </c>
      <c r="B182" s="34">
        <v>5</v>
      </c>
      <c r="C182" s="34">
        <v>0</v>
      </c>
      <c r="D182" s="34">
        <v>0</v>
      </c>
      <c r="E182" s="34">
        <v>0</v>
      </c>
      <c r="F182" s="34">
        <v>200</v>
      </c>
      <c r="G182" s="34">
        <v>0</v>
      </c>
      <c r="H182" s="34"/>
      <c r="I182" s="34" t="s">
        <v>1561</v>
      </c>
      <c r="J182" s="34" t="s">
        <v>1561</v>
      </c>
      <c r="K182" s="107" t="s">
        <v>1561</v>
      </c>
      <c r="L182" s="34" t="s">
        <v>1561</v>
      </c>
    </row>
    <row r="183" spans="1:12" ht="16.5" x14ac:dyDescent="0.35">
      <c r="A183" s="106" t="str">
        <f>HYPERLINK("https://www.examplebusiness.com/resource-center/investment/tips-for-inflation","https://www.examplebusiness.com/resource-center/investment/tips-for-inflation")</f>
        <v>https://www.examplebusiness.com/resource-center/investment/tips-for-inflation</v>
      </c>
      <c r="B183" s="34">
        <v>5</v>
      </c>
      <c r="C183" s="34">
        <v>0</v>
      </c>
      <c r="D183" s="34">
        <v>0</v>
      </c>
      <c r="E183" s="34">
        <v>0</v>
      </c>
      <c r="F183" s="34">
        <v>200</v>
      </c>
      <c r="G183" s="34">
        <v>0</v>
      </c>
      <c r="H183" s="34"/>
      <c r="I183" s="34" t="s">
        <v>1561</v>
      </c>
      <c r="J183" s="34" t="s">
        <v>1561</v>
      </c>
      <c r="K183" s="107" t="s">
        <v>1561</v>
      </c>
      <c r="L183" s="34" t="s">
        <v>1561</v>
      </c>
    </row>
    <row r="184" spans="1:12" ht="16.5" x14ac:dyDescent="0.35">
      <c r="A184" s="106" t="str">
        <f>HYPERLINK("https://www.examplebusiness.com/resource-center/tax/what-the-new-tax-bill-means-for-you","https://www.examplebusiness.com/resource-center/tax/what-the-new-tax-bill-means-for-you")</f>
        <v>https://www.examplebusiness.com/resource-center/tax/what-the-new-tax-bill-means-for-you</v>
      </c>
      <c r="B184" s="34">
        <v>5</v>
      </c>
      <c r="C184" s="34">
        <v>0</v>
      </c>
      <c r="D184" s="34">
        <v>0</v>
      </c>
      <c r="E184" s="34">
        <v>0</v>
      </c>
      <c r="F184" s="34">
        <v>200</v>
      </c>
      <c r="G184" s="34">
        <v>0</v>
      </c>
      <c r="H184" s="34"/>
      <c r="I184" s="34" t="s">
        <v>1561</v>
      </c>
      <c r="J184" s="34" t="s">
        <v>1561</v>
      </c>
      <c r="K184" s="107" t="s">
        <v>1561</v>
      </c>
      <c r="L184" s="34" t="s">
        <v>1561</v>
      </c>
    </row>
    <row r="185" spans="1:12" ht="16.5" x14ac:dyDescent="0.35">
      <c r="A185" s="106" t="str">
        <f>HYPERLINK("https://www.examplebusiness.com/resource-center/lifestyle/avoiding-cognitive-decline","https://www.examplebusiness.com/resource-center/lifestyle/avoiding-cognitive-decline")</f>
        <v>https://www.examplebusiness.com/resource-center/lifestyle/avoiding-cognitive-decline</v>
      </c>
      <c r="B185" s="34">
        <v>5</v>
      </c>
      <c r="C185" s="34">
        <v>0</v>
      </c>
      <c r="D185" s="34">
        <v>0</v>
      </c>
      <c r="E185" s="34">
        <v>0</v>
      </c>
      <c r="F185" s="34">
        <v>200</v>
      </c>
      <c r="G185" s="34">
        <v>0</v>
      </c>
      <c r="H185" s="34"/>
      <c r="I185" s="34" t="s">
        <v>1561</v>
      </c>
      <c r="J185" s="34" t="s">
        <v>1561</v>
      </c>
      <c r="K185" s="107" t="s">
        <v>1561</v>
      </c>
      <c r="L185" s="34" t="s">
        <v>1561</v>
      </c>
    </row>
    <row r="186" spans="1:12" ht="16.5" x14ac:dyDescent="0.35">
      <c r="A186" s="106" t="str">
        <f>HYPERLINK("https://www.examplebusiness.com/resource-center/estate/estate-management-101","https://www.examplebusiness.com/resource-center/estate/estate-management-101")</f>
        <v>https://www.examplebusiness.com/resource-center/estate/estate-management-101</v>
      </c>
      <c r="B186" s="34">
        <v>5</v>
      </c>
      <c r="C186" s="34">
        <v>0</v>
      </c>
      <c r="D186" s="34">
        <v>0</v>
      </c>
      <c r="E186" s="34">
        <v>0</v>
      </c>
      <c r="F186" s="34">
        <v>200</v>
      </c>
      <c r="G186" s="34">
        <v>0</v>
      </c>
      <c r="H186" s="34"/>
      <c r="I186" s="34" t="s">
        <v>1561</v>
      </c>
      <c r="J186" s="34" t="s">
        <v>1561</v>
      </c>
      <c r="K186" s="107" t="s">
        <v>1561</v>
      </c>
      <c r="L186" s="34" t="s">
        <v>1561</v>
      </c>
    </row>
    <row r="187" spans="1:12" ht="16.5" x14ac:dyDescent="0.35">
      <c r="A187" s="106" t="str">
        <f>HYPERLINK("https://www.examplebusiness.com/resource-center/lifestyle/four-great-unexpected-places-to-raise-a-family","https://www.examplebusiness.com/resource-center/lifestyle/four-great-unexpected-places-to-raise-a-family")</f>
        <v>https://www.examplebusiness.com/resource-center/lifestyle/four-great-unexpected-places-to-raise-a-family</v>
      </c>
      <c r="B187" s="34">
        <v>5</v>
      </c>
      <c r="C187" s="34">
        <v>0</v>
      </c>
      <c r="D187" s="34">
        <v>0</v>
      </c>
      <c r="E187" s="34">
        <v>0</v>
      </c>
      <c r="F187" s="34">
        <v>200</v>
      </c>
      <c r="G187" s="34">
        <v>0</v>
      </c>
      <c r="H187" s="34"/>
      <c r="I187" s="34" t="s">
        <v>1561</v>
      </c>
      <c r="J187" s="34" t="s">
        <v>1561</v>
      </c>
      <c r="K187" s="107" t="s">
        <v>1561</v>
      </c>
      <c r="L187" s="34" t="s">
        <v>1561</v>
      </c>
    </row>
    <row r="188" spans="1:12" ht="16.5" x14ac:dyDescent="0.35">
      <c r="A188" s="106" t="str">
        <f>HYPERLINK("https://www.examplebusiness.com/resource-center/investment/a-decision-not-made-is-still-a-decision","https://www.examplebusiness.com/resource-center/investment/a-decision-not-made-is-still-a-decision")</f>
        <v>https://www.examplebusiness.com/resource-center/investment/a-decision-not-made-is-still-a-decision</v>
      </c>
      <c r="B188" s="34">
        <v>5</v>
      </c>
      <c r="C188" s="34">
        <v>0</v>
      </c>
      <c r="D188" s="34">
        <v>0</v>
      </c>
      <c r="E188" s="34">
        <v>0</v>
      </c>
      <c r="F188" s="34">
        <v>200</v>
      </c>
      <c r="G188" s="34">
        <v>0</v>
      </c>
      <c r="H188" s="34"/>
      <c r="I188" s="34" t="s">
        <v>1561</v>
      </c>
      <c r="J188" s="34" t="s">
        <v>1561</v>
      </c>
      <c r="K188" s="107" t="s">
        <v>1561</v>
      </c>
      <c r="L188" s="34" t="s">
        <v>1561</v>
      </c>
    </row>
    <row r="189" spans="1:12" ht="16.5" x14ac:dyDescent="0.35">
      <c r="A189" s="106" t="str">
        <f>HYPERLINK("https://www.examplebusiness.com/resource-center/investment/when-markets-react","https://www.examplebusiness.com/resource-center/investment/when-markets-react")</f>
        <v>https://www.examplebusiness.com/resource-center/investment/when-markets-react</v>
      </c>
      <c r="B189" s="34">
        <v>5</v>
      </c>
      <c r="C189" s="34">
        <v>0</v>
      </c>
      <c r="D189" s="34">
        <v>0</v>
      </c>
      <c r="E189" s="34">
        <v>0</v>
      </c>
      <c r="F189" s="34">
        <v>200</v>
      </c>
      <c r="G189" s="34">
        <v>0</v>
      </c>
      <c r="H189" s="34"/>
      <c r="I189" s="34" t="s">
        <v>1561</v>
      </c>
      <c r="J189" s="34" t="s">
        <v>1561</v>
      </c>
      <c r="K189" s="107" t="s">
        <v>1561</v>
      </c>
      <c r="L189" s="34" t="s">
        <v>1561</v>
      </c>
    </row>
    <row r="190" spans="1:12" ht="16.5" x14ac:dyDescent="0.35">
      <c r="A190" s="106" t="str">
        <f>HYPERLINK("https://www.examplebusiness.com/resource-center/money/buying-vs-leasing-a-car","https://www.examplebusiness.com/resource-center/money/buying-vs-leasing-a-car")</f>
        <v>https://www.examplebusiness.com/resource-center/money/buying-vs-leasing-a-car</v>
      </c>
      <c r="B190" s="34">
        <v>5</v>
      </c>
      <c r="C190" s="34">
        <v>0</v>
      </c>
      <c r="D190" s="34">
        <v>0</v>
      </c>
      <c r="E190" s="34">
        <v>0</v>
      </c>
      <c r="F190" s="34">
        <v>200</v>
      </c>
      <c r="G190" s="34">
        <v>0</v>
      </c>
      <c r="H190" s="34"/>
      <c r="I190" s="34" t="s">
        <v>1561</v>
      </c>
      <c r="J190" s="34" t="s">
        <v>1561</v>
      </c>
      <c r="K190" s="107" t="s">
        <v>1561</v>
      </c>
      <c r="L190" s="34" t="s">
        <v>1561</v>
      </c>
    </row>
    <row r="191" spans="1:12" ht="16.5" x14ac:dyDescent="0.35">
      <c r="A191" s="106" t="str">
        <f>HYPERLINK("https://www.examplebusiness.com/resource-center/retirement/a-look-at-systematic-withdrawals","https://www.examplebusiness.com/resource-center/retirement/a-look-at-systematic-withdrawals")</f>
        <v>https://www.examplebusiness.com/resource-center/retirement/a-look-at-systematic-withdrawals</v>
      </c>
      <c r="B191" s="34">
        <v>5</v>
      </c>
      <c r="C191" s="34">
        <v>0</v>
      </c>
      <c r="D191" s="34">
        <v>0</v>
      </c>
      <c r="E191" s="34">
        <v>0</v>
      </c>
      <c r="F191" s="34">
        <v>200</v>
      </c>
      <c r="G191" s="34">
        <v>0</v>
      </c>
      <c r="H191" s="34"/>
      <c r="I191" s="34" t="s">
        <v>1561</v>
      </c>
      <c r="J191" s="34" t="s">
        <v>1561</v>
      </c>
      <c r="K191" s="107" t="s">
        <v>1561</v>
      </c>
      <c r="L191" s="34" t="s">
        <v>1561</v>
      </c>
    </row>
    <row r="192" spans="1:12" ht="16.5" x14ac:dyDescent="0.35">
      <c r="A192" s="106" t="str">
        <f>HYPERLINK("https://www.examplebusiness.com/resource-center/estate/charitable-giving-smart-from-the-heart","https://www.examplebusiness.com/resource-center/estate/charitable-giving-smart-from-the-heart")</f>
        <v>https://www.examplebusiness.com/resource-center/estate/charitable-giving-smart-from-the-heart</v>
      </c>
      <c r="B192" s="34">
        <v>5</v>
      </c>
      <c r="C192" s="34">
        <v>0</v>
      </c>
      <c r="D192" s="34">
        <v>0</v>
      </c>
      <c r="E192" s="34">
        <v>0</v>
      </c>
      <c r="F192" s="34">
        <v>200</v>
      </c>
      <c r="G192" s="34">
        <v>0</v>
      </c>
      <c r="H192" s="34"/>
      <c r="I192" s="34" t="s">
        <v>1561</v>
      </c>
      <c r="J192" s="34" t="s">
        <v>1561</v>
      </c>
      <c r="K192" s="107" t="s">
        <v>1561</v>
      </c>
      <c r="L192" s="34" t="s">
        <v>1561</v>
      </c>
    </row>
    <row r="193" spans="1:12" ht="16.5" x14ac:dyDescent="0.35">
      <c r="A193" s="106" t="str">
        <f>HYPERLINK("https://www.examplebusiness.com/resource-center/lifestyle/top-new-digital-tools-for-small-businesses","https://www.examplebusiness.com/resource-center/lifestyle/top-new-digital-tools-for-small-businesses")</f>
        <v>https://www.examplebusiness.com/resource-center/lifestyle/top-new-digital-tools-for-small-businesses</v>
      </c>
      <c r="B193" s="34">
        <v>5</v>
      </c>
      <c r="C193" s="34">
        <v>0</v>
      </c>
      <c r="D193" s="34">
        <v>0</v>
      </c>
      <c r="E193" s="34">
        <v>0</v>
      </c>
      <c r="F193" s="34">
        <v>200</v>
      </c>
      <c r="G193" s="34">
        <v>0</v>
      </c>
      <c r="H193" s="34"/>
      <c r="I193" s="34" t="s">
        <v>1561</v>
      </c>
      <c r="J193" s="34" t="s">
        <v>1561</v>
      </c>
      <c r="K193" s="107" t="s">
        <v>1561</v>
      </c>
      <c r="L193" s="34" t="s">
        <v>1561</v>
      </c>
    </row>
    <row r="194" spans="1:12" ht="16.5" x14ac:dyDescent="0.35">
      <c r="A194" s="106" t="str">
        <f>HYPERLINK("https://www.examplebusiness.com/resource-center/investment/the-rule-of-72","https://www.examplebusiness.com/resource-center/investment/the-rule-of-72")</f>
        <v>https://www.examplebusiness.com/resource-center/investment/the-rule-of-72</v>
      </c>
      <c r="B194" s="34">
        <v>5</v>
      </c>
      <c r="C194" s="34">
        <v>0</v>
      </c>
      <c r="D194" s="34">
        <v>0</v>
      </c>
      <c r="E194" s="34">
        <v>0</v>
      </c>
      <c r="F194" s="34">
        <v>200</v>
      </c>
      <c r="G194" s="34">
        <v>0</v>
      </c>
      <c r="H194" s="34"/>
      <c r="I194" s="34" t="s">
        <v>1561</v>
      </c>
      <c r="J194" s="34" t="s">
        <v>1561</v>
      </c>
      <c r="K194" s="107" t="s">
        <v>1561</v>
      </c>
      <c r="L194" s="34" t="s">
        <v>1561</v>
      </c>
    </row>
    <row r="195" spans="1:12" ht="16.5" x14ac:dyDescent="0.35">
      <c r="A195" s="106" t="str">
        <f>HYPERLINK("https://www.examplebusiness.com/resource-center/lifestyle/healthy-body-healthy-pocketbook","https://www.examplebusiness.com/resource-center/lifestyle/healthy-body-healthy-pocketbook")</f>
        <v>https://www.examplebusiness.com/resource-center/lifestyle/healthy-body-healthy-pocketbook</v>
      </c>
      <c r="B195" s="34">
        <v>5</v>
      </c>
      <c r="C195" s="34">
        <v>0</v>
      </c>
      <c r="D195" s="34">
        <v>0</v>
      </c>
      <c r="E195" s="34">
        <v>0</v>
      </c>
      <c r="F195" s="34">
        <v>200</v>
      </c>
      <c r="G195" s="34">
        <v>0</v>
      </c>
      <c r="H195" s="34"/>
      <c r="I195" s="34" t="s">
        <v>1561</v>
      </c>
      <c r="J195" s="34" t="s">
        <v>1561</v>
      </c>
      <c r="K195" s="107" t="s">
        <v>1561</v>
      </c>
      <c r="L195" s="34" t="s">
        <v>1561</v>
      </c>
    </row>
    <row r="196" spans="1:12" ht="16.5" x14ac:dyDescent="0.35">
      <c r="A196" s="106" t="str">
        <f>HYPERLINK("https://www.examplebusiness.com/resource-center/investment/the-real-cost-of-a-vacation-home","https://www.examplebusiness.com/resource-center/investment/the-real-cost-of-a-vacation-home")</f>
        <v>https://www.examplebusiness.com/resource-center/investment/the-real-cost-of-a-vacation-home</v>
      </c>
      <c r="B196" s="34">
        <v>5</v>
      </c>
      <c r="C196" s="34">
        <v>0</v>
      </c>
      <c r="D196" s="34">
        <v>0</v>
      </c>
      <c r="E196" s="34">
        <v>0</v>
      </c>
      <c r="F196" s="34">
        <v>200</v>
      </c>
      <c r="G196" s="34">
        <v>0</v>
      </c>
      <c r="H196" s="34"/>
      <c r="I196" s="34" t="s">
        <v>1561</v>
      </c>
      <c r="J196" s="34" t="s">
        <v>1561</v>
      </c>
      <c r="K196" s="107" t="s">
        <v>1561</v>
      </c>
      <c r="L196" s="34" t="s">
        <v>1561</v>
      </c>
    </row>
    <row r="197" spans="1:12" ht="16.5" x14ac:dyDescent="0.35">
      <c r="A197" s="106" t="str">
        <f>HYPERLINK("https://www.examplebusiness.com/resource-center/insurance/fallen-tree-damage-who-pays-1","https://www.examplebusiness.com/resource-center/insurance/fallen-tree-damage-who-pays-1")</f>
        <v>https://www.examplebusiness.com/resource-center/insurance/fallen-tree-damage-who-pays-1</v>
      </c>
      <c r="B197" s="34">
        <v>5</v>
      </c>
      <c r="C197" s="34">
        <v>0</v>
      </c>
      <c r="D197" s="34">
        <v>0</v>
      </c>
      <c r="E197" s="34">
        <v>0</v>
      </c>
      <c r="F197" s="34">
        <v>200</v>
      </c>
      <c r="G197" s="34">
        <v>0</v>
      </c>
      <c r="H197" s="34"/>
      <c r="I197" s="34">
        <v>0</v>
      </c>
      <c r="J197" s="34">
        <v>1</v>
      </c>
      <c r="K197" s="107">
        <v>0</v>
      </c>
      <c r="L197" s="34">
        <v>49</v>
      </c>
    </row>
    <row r="198" spans="1:12" ht="16.5" x14ac:dyDescent="0.35">
      <c r="A198" s="106" t="str">
        <f>HYPERLINK("https://www.examplebusiness.com/resource-center/investment/the-utility-of-sector-investing","https://www.examplebusiness.com/resource-center/investment/the-utility-of-sector-investing")</f>
        <v>https://www.examplebusiness.com/resource-center/investment/the-utility-of-sector-investing</v>
      </c>
      <c r="B198" s="34">
        <v>5</v>
      </c>
      <c r="C198" s="34">
        <v>0</v>
      </c>
      <c r="D198" s="34">
        <v>0</v>
      </c>
      <c r="E198" s="34">
        <v>0</v>
      </c>
      <c r="F198" s="34">
        <v>200</v>
      </c>
      <c r="G198" s="34">
        <v>0</v>
      </c>
      <c r="H198" s="34"/>
      <c r="I198" s="34" t="s">
        <v>1561</v>
      </c>
      <c r="J198" s="34" t="s">
        <v>1561</v>
      </c>
      <c r="K198" s="107" t="s">
        <v>1561</v>
      </c>
      <c r="L198" s="34" t="s">
        <v>1561</v>
      </c>
    </row>
    <row r="199" spans="1:12" ht="16.5" x14ac:dyDescent="0.35">
      <c r="A199" s="106" t="str">
        <f>HYPERLINK("https://www.examplebusiness.com/resource-center/investment/investments-advisormercials","https://www.examplebusiness.com/resource-center/investment/investments-advisormercials")</f>
        <v>https://www.examplebusiness.com/resource-center/investment/investments-advisormercials</v>
      </c>
      <c r="B199" s="34">
        <v>5</v>
      </c>
      <c r="C199" s="34">
        <v>0</v>
      </c>
      <c r="D199" s="34">
        <v>0</v>
      </c>
      <c r="E199" s="34">
        <v>0</v>
      </c>
      <c r="F199" s="34">
        <v>200</v>
      </c>
      <c r="G199" s="34">
        <v>0</v>
      </c>
      <c r="H199" s="34"/>
      <c r="I199" s="34" t="s">
        <v>1561</v>
      </c>
      <c r="J199" s="34" t="s">
        <v>1561</v>
      </c>
      <c r="K199" s="107" t="s">
        <v>1561</v>
      </c>
      <c r="L199" s="34" t="s">
        <v>1561</v>
      </c>
    </row>
    <row r="200" spans="1:12" ht="16.5" x14ac:dyDescent="0.35">
      <c r="A200" s="106" t="str">
        <f>HYPERLINK("https://www.examplebusiness.com/resource-center/retirement/a-bucket-plan","https://www.examplebusiness.com/resource-center/retirement/a-bucket-plan")</f>
        <v>https://www.examplebusiness.com/resource-center/retirement/a-bucket-plan</v>
      </c>
      <c r="B200" s="34">
        <v>5</v>
      </c>
      <c r="C200" s="34">
        <v>0</v>
      </c>
      <c r="D200" s="34">
        <v>0</v>
      </c>
      <c r="E200" s="34">
        <v>0</v>
      </c>
      <c r="F200" s="34">
        <v>200</v>
      </c>
      <c r="G200" s="34">
        <v>0</v>
      </c>
      <c r="H200" s="34"/>
      <c r="I200" s="34" t="s">
        <v>1561</v>
      </c>
      <c r="J200" s="34" t="s">
        <v>1561</v>
      </c>
      <c r="K200" s="107" t="s">
        <v>1561</v>
      </c>
      <c r="L200" s="34" t="s">
        <v>1561</v>
      </c>
    </row>
    <row r="201" spans="1:12" ht="16.5" x14ac:dyDescent="0.35">
      <c r="A201" s="106" t="str">
        <f>HYPERLINK("https://www.examplebusiness.com/resource-center/investment/how-compound-interest-works","https://www.examplebusiness.com/resource-center/investment/how-compound-interest-works")</f>
        <v>https://www.examplebusiness.com/resource-center/investment/how-compound-interest-works</v>
      </c>
      <c r="B201" s="34">
        <v>5</v>
      </c>
      <c r="C201" s="34">
        <v>0</v>
      </c>
      <c r="D201" s="34">
        <v>0</v>
      </c>
      <c r="E201" s="34">
        <v>0</v>
      </c>
      <c r="F201" s="34">
        <v>200</v>
      </c>
      <c r="G201" s="34">
        <v>0</v>
      </c>
      <c r="H201" s="34"/>
      <c r="I201" s="34">
        <v>0</v>
      </c>
      <c r="J201" s="34">
        <v>27</v>
      </c>
      <c r="K201" s="107">
        <v>0</v>
      </c>
      <c r="L201" s="34">
        <v>10</v>
      </c>
    </row>
    <row r="202" spans="1:12" ht="16.5" x14ac:dyDescent="0.35">
      <c r="A202" s="106" t="str">
        <f>HYPERLINK("https://www.examplebusiness.com/resource-center/insurance/insuring-your-business-with-a-buy-sell-agreement","https://www.examplebusiness.com/resource-center/insurance/insuring-your-business-with-a-buy-sell-agreement")</f>
        <v>https://www.examplebusiness.com/resource-center/insurance/insuring-your-business-with-a-buy-sell-agreement</v>
      </c>
      <c r="B202" s="34">
        <v>5</v>
      </c>
      <c r="C202" s="34">
        <v>0</v>
      </c>
      <c r="D202" s="34">
        <v>0</v>
      </c>
      <c r="E202" s="34">
        <v>0</v>
      </c>
      <c r="F202" s="34">
        <v>200</v>
      </c>
      <c r="G202" s="34">
        <v>0</v>
      </c>
      <c r="H202" s="34"/>
      <c r="I202" s="34" t="s">
        <v>1561</v>
      </c>
      <c r="J202" s="34" t="s">
        <v>1561</v>
      </c>
      <c r="K202" s="107" t="s">
        <v>1561</v>
      </c>
      <c r="L202" s="34" t="s">
        <v>1561</v>
      </c>
    </row>
    <row r="203" spans="1:12" ht="16.5" x14ac:dyDescent="0.35">
      <c r="A203" s="106" t="str">
        <f>HYPERLINK("https://www.examplebusiness.com/resource-center/insurance/how-does-whole-life-insurance-work","https://www.examplebusiness.com/resource-center/insurance/how-does-whole-life-insurance-work")</f>
        <v>https://www.examplebusiness.com/resource-center/insurance/how-does-whole-life-insurance-work</v>
      </c>
      <c r="B203" s="34">
        <v>5</v>
      </c>
      <c r="C203" s="34">
        <v>0</v>
      </c>
      <c r="D203" s="34">
        <v>0</v>
      </c>
      <c r="E203" s="34">
        <v>0</v>
      </c>
      <c r="F203" s="34">
        <v>200</v>
      </c>
      <c r="G203" s="34">
        <v>0</v>
      </c>
      <c r="H203" s="34"/>
      <c r="I203" s="34">
        <v>0</v>
      </c>
      <c r="J203" s="34">
        <v>40</v>
      </c>
      <c r="K203" s="107">
        <v>0</v>
      </c>
      <c r="L203" s="34">
        <v>43.02</v>
      </c>
    </row>
    <row r="204" spans="1:12" ht="16.5" x14ac:dyDescent="0.35">
      <c r="A204" s="106" t="str">
        <f>HYPERLINK("https://www.examplebusiness.com/resource-center/retirement/women-on-the-rise","https://www.examplebusiness.com/resource-center/retirement/women-on-the-rise")</f>
        <v>https://www.examplebusiness.com/resource-center/retirement/women-on-the-rise</v>
      </c>
      <c r="B204" s="34">
        <v>5</v>
      </c>
      <c r="C204" s="34">
        <v>0</v>
      </c>
      <c r="D204" s="34">
        <v>0</v>
      </c>
      <c r="E204" s="34">
        <v>0</v>
      </c>
      <c r="F204" s="34">
        <v>200</v>
      </c>
      <c r="G204" s="34">
        <v>0</v>
      </c>
      <c r="H204" s="34"/>
      <c r="I204" s="34" t="s">
        <v>1561</v>
      </c>
      <c r="J204" s="34" t="s">
        <v>1561</v>
      </c>
      <c r="K204" s="107" t="s">
        <v>1561</v>
      </c>
      <c r="L204" s="34" t="s">
        <v>1561</v>
      </c>
    </row>
    <row r="205" spans="1:12" ht="16.5" x14ac:dyDescent="0.35">
      <c r="A205" s="106" t="str">
        <f>HYPERLINK("https://www.examplebusiness.com/resource-center/retirement/women-and-financial-strategies","https://www.examplebusiness.com/resource-center/retirement/women-and-financial-strategies")</f>
        <v>https://www.examplebusiness.com/resource-center/retirement/women-and-financial-strategies</v>
      </c>
      <c r="B205" s="34">
        <v>5</v>
      </c>
      <c r="C205" s="34">
        <v>0</v>
      </c>
      <c r="D205" s="34">
        <v>0</v>
      </c>
      <c r="E205" s="34">
        <v>0</v>
      </c>
      <c r="F205" s="34">
        <v>200</v>
      </c>
      <c r="G205" s="34">
        <v>0</v>
      </c>
      <c r="H205" s="34"/>
      <c r="I205" s="34" t="s">
        <v>1561</v>
      </c>
      <c r="J205" s="34" t="s">
        <v>1561</v>
      </c>
      <c r="K205" s="107" t="s">
        <v>1561</v>
      </c>
      <c r="L205" s="34" t="s">
        <v>1561</v>
      </c>
    </row>
    <row r="206" spans="1:12" ht="16.5" x14ac:dyDescent="0.35">
      <c r="A206" s="106" t="str">
        <f>HYPERLINK("https://www.examplebusiness.com/resource-center/insurance/insuring-your-second-home","https://www.examplebusiness.com/resource-center/insurance/insuring-your-second-home")</f>
        <v>https://www.examplebusiness.com/resource-center/insurance/insuring-your-second-home</v>
      </c>
      <c r="B206" s="34">
        <v>5</v>
      </c>
      <c r="C206" s="34">
        <v>0</v>
      </c>
      <c r="D206" s="34">
        <v>0</v>
      </c>
      <c r="E206" s="34">
        <v>0</v>
      </c>
      <c r="F206" s="34">
        <v>200</v>
      </c>
      <c r="G206" s="34">
        <v>0</v>
      </c>
      <c r="H206" s="34"/>
      <c r="I206" s="34" t="s">
        <v>1561</v>
      </c>
      <c r="J206" s="34" t="s">
        <v>1561</v>
      </c>
      <c r="K206" s="107" t="s">
        <v>1561</v>
      </c>
      <c r="L206" s="34" t="s">
        <v>1561</v>
      </c>
    </row>
    <row r="207" spans="1:12" ht="16.5" x14ac:dyDescent="0.35">
      <c r="A207" s="106" t="str">
        <f>HYPERLINK("https://www.examplebusiness.com/resource-center/insurance/a-home-insurance-claim-to-file-or-not-to-file","https://www.examplebusiness.com/resource-center/insurance/a-home-insurance-claim-to-file-or-not-to-file")</f>
        <v>https://www.examplebusiness.com/resource-center/insurance/a-home-insurance-claim-to-file-or-not-to-file</v>
      </c>
      <c r="B207" s="34">
        <v>5</v>
      </c>
      <c r="C207" s="34">
        <v>0</v>
      </c>
      <c r="D207" s="34">
        <v>0</v>
      </c>
      <c r="E207" s="34">
        <v>0</v>
      </c>
      <c r="F207" s="34">
        <v>200</v>
      </c>
      <c r="G207" s="34">
        <v>0</v>
      </c>
      <c r="H207" s="34"/>
      <c r="I207" s="34" t="s">
        <v>1561</v>
      </c>
      <c r="J207" s="34" t="s">
        <v>1561</v>
      </c>
      <c r="K207" s="107" t="s">
        <v>1561</v>
      </c>
      <c r="L207" s="34" t="s">
        <v>1561</v>
      </c>
    </row>
    <row r="208" spans="1:12" ht="16.5" x14ac:dyDescent="0.35">
      <c r="A208" s="106" t="str">
        <f>HYPERLINK("https://www.examplebusiness.com/resource-center/retirement/how-will-working-affect-social-security-benefits","https://www.examplebusiness.com/resource-center/retirement/how-will-working-affect-social-security-benefits")</f>
        <v>https://www.examplebusiness.com/resource-center/retirement/how-will-working-affect-social-security-benefits</v>
      </c>
      <c r="B208" s="34">
        <v>5</v>
      </c>
      <c r="C208" s="34">
        <v>0</v>
      </c>
      <c r="D208" s="34">
        <v>0</v>
      </c>
      <c r="E208" s="34">
        <v>0</v>
      </c>
      <c r="F208" s="34">
        <v>200</v>
      </c>
      <c r="G208" s="34">
        <v>0</v>
      </c>
      <c r="H208" s="34"/>
      <c r="I208" s="34">
        <v>0</v>
      </c>
      <c r="J208" s="34">
        <v>1</v>
      </c>
      <c r="K208" s="107">
        <v>0</v>
      </c>
      <c r="L208" s="34">
        <v>6</v>
      </c>
    </row>
    <row r="209" spans="1:12" ht="16.5" x14ac:dyDescent="0.35">
      <c r="A209" s="106" t="str">
        <f>HYPERLINK("https://www.examplebusiness.com/resource-center/tax/the-fact-about-income-tax","https://www.examplebusiness.com/resource-center/tax/the-fact-about-income-tax")</f>
        <v>https://www.examplebusiness.com/resource-center/tax/the-fact-about-income-tax</v>
      </c>
      <c r="B209" s="34">
        <v>5</v>
      </c>
      <c r="C209" s="34">
        <v>0</v>
      </c>
      <c r="D209" s="34">
        <v>0</v>
      </c>
      <c r="E209" s="34">
        <v>0</v>
      </c>
      <c r="F209" s="34">
        <v>200</v>
      </c>
      <c r="G209" s="34">
        <v>0</v>
      </c>
      <c r="H209" s="34"/>
      <c r="I209" s="34">
        <v>0</v>
      </c>
      <c r="J209" s="34">
        <v>1</v>
      </c>
      <c r="K209" s="107">
        <v>0</v>
      </c>
      <c r="L209" s="34">
        <v>83</v>
      </c>
    </row>
    <row r="210" spans="1:12" ht="16.5" x14ac:dyDescent="0.35">
      <c r="A210" s="106" t="str">
        <f>HYPERLINK("https://www.examplebusiness.com/resource-center/investment/what-smart-investors-know","https://www.examplebusiness.com/resource-center/investment/what-smart-investors-know")</f>
        <v>https://www.examplebusiness.com/resource-center/investment/what-smart-investors-know</v>
      </c>
      <c r="B210" s="34">
        <v>5</v>
      </c>
      <c r="C210" s="34">
        <v>0</v>
      </c>
      <c r="D210" s="34">
        <v>0</v>
      </c>
      <c r="E210" s="34">
        <v>0</v>
      </c>
      <c r="F210" s="34">
        <v>200</v>
      </c>
      <c r="G210" s="34">
        <v>0</v>
      </c>
      <c r="H210" s="34"/>
      <c r="I210" s="34" t="s">
        <v>1561</v>
      </c>
      <c r="J210" s="34" t="s">
        <v>1561</v>
      </c>
      <c r="K210" s="107" t="s">
        <v>1561</v>
      </c>
      <c r="L210" s="34" t="s">
        <v>1561</v>
      </c>
    </row>
    <row r="211" spans="1:12" ht="16.5" x14ac:dyDescent="0.35">
      <c r="A211" s="109" t="str">
        <f>HYPERLINK("https://www.examplebusiness.com/resource-center/insurance/long-term-care-protection-strategies","https://www.examplebusiness.com/resource-center/insurance/long-term-care-protection-strategies")</f>
        <v>https://www.examplebusiness.com/resource-center/insurance/long-term-care-protection-strategies</v>
      </c>
      <c r="B211" s="34">
        <v>5</v>
      </c>
      <c r="C211" s="34">
        <v>0</v>
      </c>
      <c r="D211" s="34">
        <v>0</v>
      </c>
      <c r="E211" s="34">
        <v>0</v>
      </c>
      <c r="F211" s="34">
        <v>302</v>
      </c>
      <c r="G211" s="34">
        <v>0</v>
      </c>
      <c r="H211" s="34"/>
      <c r="I211" s="34" t="s">
        <v>1561</v>
      </c>
      <c r="J211" s="34" t="s">
        <v>1561</v>
      </c>
      <c r="K211" s="107" t="s">
        <v>1561</v>
      </c>
      <c r="L211" s="34" t="s">
        <v>1561</v>
      </c>
    </row>
    <row r="212" spans="1:12" ht="16.5" x14ac:dyDescent="0.35">
      <c r="A212" s="109" t="str">
        <f>HYPERLINK("https://www.examplebusiness.com/resource-center/investment/keys-to-investing-for-retirement","https://www.examplebusiness.com/resource-center/investment/keys-to-investing-for-retirement")</f>
        <v>https://www.examplebusiness.com/resource-center/investment/keys-to-investing-for-retirement</v>
      </c>
      <c r="B212" s="34">
        <v>5</v>
      </c>
      <c r="C212" s="34">
        <v>0</v>
      </c>
      <c r="D212" s="34">
        <v>0</v>
      </c>
      <c r="E212" s="34">
        <v>0</v>
      </c>
      <c r="F212" s="34">
        <v>302</v>
      </c>
      <c r="G212" s="34">
        <v>0</v>
      </c>
      <c r="H212" s="34"/>
      <c r="I212" s="34" t="s">
        <v>1561</v>
      </c>
      <c r="J212" s="34" t="s">
        <v>1561</v>
      </c>
      <c r="K212" s="107" t="s">
        <v>1561</v>
      </c>
      <c r="L212" s="34" t="s">
        <v>1561</v>
      </c>
    </row>
    <row r="213" spans="1:12" ht="16.5" x14ac:dyDescent="0.35">
      <c r="A213" s="109" t="str">
        <f>HYPERLINK("https://www.examplebusiness.com/resource-center/retirement/ready-for-retirement","https://www.examplebusiness.com/resource-center/retirement/ready-for-retirement")</f>
        <v>https://www.examplebusiness.com/resource-center/retirement/ready-for-retirement</v>
      </c>
      <c r="B213" s="34">
        <v>5</v>
      </c>
      <c r="C213" s="34">
        <v>0</v>
      </c>
      <c r="D213" s="34">
        <v>0</v>
      </c>
      <c r="E213" s="34">
        <v>0</v>
      </c>
      <c r="F213" s="34">
        <v>302</v>
      </c>
      <c r="G213" s="34">
        <v>0</v>
      </c>
      <c r="H213" s="34"/>
      <c r="I213" s="34" t="s">
        <v>1561</v>
      </c>
      <c r="J213" s="34" t="s">
        <v>1561</v>
      </c>
      <c r="K213" s="107" t="s">
        <v>1561</v>
      </c>
      <c r="L213" s="34" t="s">
        <v>1561</v>
      </c>
    </row>
    <row r="214" spans="1:12" ht="16.5" x14ac:dyDescent="0.35">
      <c r="A214" s="109" t="str">
        <f>HYPERLINK("https://www.examplebusiness.com/resource-center/retirement/tuning-your-social-security-benefit","https://www.examplebusiness.com/resource-center/retirement/tuning-your-social-security-benefit")</f>
        <v>https://www.examplebusiness.com/resource-center/retirement/tuning-your-social-security-benefit</v>
      </c>
      <c r="B214" s="34">
        <v>5</v>
      </c>
      <c r="C214" s="34">
        <v>0</v>
      </c>
      <c r="D214" s="34">
        <v>0</v>
      </c>
      <c r="E214" s="34">
        <v>0</v>
      </c>
      <c r="F214" s="34">
        <v>302</v>
      </c>
      <c r="G214" s="34">
        <v>0</v>
      </c>
      <c r="H214" s="34"/>
      <c r="I214" s="34" t="s">
        <v>1561</v>
      </c>
      <c r="J214" s="34" t="s">
        <v>1561</v>
      </c>
      <c r="K214" s="107" t="s">
        <v>1561</v>
      </c>
      <c r="L214" s="34" t="s">
        <v>1561</v>
      </c>
    </row>
    <row r="215" spans="1:12" ht="16.5" x14ac:dyDescent="0.35">
      <c r="A215" s="109" t="str">
        <f>HYPERLINK("https://www.examplebusiness.com/resource-center/retirement/women-and-retirement","https://www.examplebusiness.com/resource-center/retirement/women-and-retirement")</f>
        <v>https://www.examplebusiness.com/resource-center/retirement/women-and-retirement</v>
      </c>
      <c r="B215" s="34">
        <v>5</v>
      </c>
      <c r="C215" s="34">
        <v>0</v>
      </c>
      <c r="D215" s="34">
        <v>0</v>
      </c>
      <c r="E215" s="34">
        <v>0</v>
      </c>
      <c r="F215" s="34">
        <v>302</v>
      </c>
      <c r="G215" s="34">
        <v>0</v>
      </c>
      <c r="H215" s="34"/>
      <c r="I215" s="34" t="s">
        <v>1561</v>
      </c>
      <c r="J215" s="34" t="s">
        <v>1561</v>
      </c>
      <c r="K215" s="107" t="s">
        <v>1561</v>
      </c>
      <c r="L215" s="34" t="s">
        <v>1561</v>
      </c>
    </row>
    <row r="216" spans="1:12" ht="16.5" x14ac:dyDescent="0.35">
      <c r="A216" s="109" t="str">
        <f>HYPERLINK("https://www.examplebusiness.com/resource-center/tax/tax-management-strategies","https://www.examplebusiness.com/resource-center/tax/tax-management-strategies")</f>
        <v>https://www.examplebusiness.com/resource-center/tax/tax-management-strategies</v>
      </c>
      <c r="B216" s="34">
        <v>5</v>
      </c>
      <c r="C216" s="34">
        <v>0</v>
      </c>
      <c r="D216" s="34">
        <v>0</v>
      </c>
      <c r="E216" s="34">
        <v>0</v>
      </c>
      <c r="F216" s="34">
        <v>302</v>
      </c>
      <c r="G216" s="34">
        <v>0</v>
      </c>
      <c r="H216" s="34"/>
      <c r="I216" s="34" t="s">
        <v>1561</v>
      </c>
      <c r="J216" s="34" t="s">
        <v>1561</v>
      </c>
      <c r="K216" s="107" t="s">
        <v>1561</v>
      </c>
      <c r="L216" s="34" t="s">
        <v>1561</v>
      </c>
    </row>
    <row r="217" spans="1:12" ht="16.5" x14ac:dyDescent="0.35">
      <c r="A217" s="109" t="str">
        <f>HYPERLINK("https://www.examplebusiness.com/team/dan-mohoney","https://www.examplebusiness.com/team/dan-mohoney")</f>
        <v>https://www.examplebusiness.com/team/dan-mohoney</v>
      </c>
      <c r="B217" s="34">
        <v>5</v>
      </c>
      <c r="C217" s="34">
        <v>0</v>
      </c>
      <c r="D217" s="34">
        <v>0</v>
      </c>
      <c r="E217" s="34">
        <v>0</v>
      </c>
      <c r="F217" s="34">
        <v>302</v>
      </c>
      <c r="G217" s="34">
        <v>0</v>
      </c>
      <c r="H217" s="34"/>
      <c r="I217" s="34" t="s">
        <v>1561</v>
      </c>
      <c r="J217" s="34" t="s">
        <v>1561</v>
      </c>
      <c r="K217" s="107" t="s">
        <v>1561</v>
      </c>
      <c r="L217" s="34" t="s">
        <v>1561</v>
      </c>
    </row>
    <row r="218" spans="1:12" ht="16.5" x14ac:dyDescent="0.35">
      <c r="A218" s="109" t="str">
        <f>HYPERLINK("https://www.examplebusiness.com/team/jessica-mcmahon","https://www.examplebusiness.com/team/jessica-mcmahon")</f>
        <v>https://www.examplebusiness.com/team/jessica-mcmahon</v>
      </c>
      <c r="B218" s="34">
        <v>5</v>
      </c>
      <c r="C218" s="34">
        <v>0</v>
      </c>
      <c r="D218" s="34">
        <v>0</v>
      </c>
      <c r="E218" s="34">
        <v>0</v>
      </c>
      <c r="F218" s="34">
        <v>302</v>
      </c>
      <c r="G218" s="34">
        <v>0</v>
      </c>
      <c r="H218" s="34"/>
      <c r="I218" s="34" t="s">
        <v>1561</v>
      </c>
      <c r="J218" s="34" t="s">
        <v>1561</v>
      </c>
      <c r="K218" s="107" t="s">
        <v>1561</v>
      </c>
      <c r="L218" s="34" t="s">
        <v>1561</v>
      </c>
    </row>
    <row r="219" spans="1:12" ht="16.5" x14ac:dyDescent="0.35">
      <c r="A219" s="109" t="str">
        <f>HYPERLINK("https://www.examplebusiness.com/team/kendra-minser","https://www.examplebusiness.com/team/kendra-minser")</f>
        <v>https://www.examplebusiness.com/team/kendra-minser</v>
      </c>
      <c r="B219" s="34">
        <v>5</v>
      </c>
      <c r="C219" s="34">
        <v>0</v>
      </c>
      <c r="D219" s="34">
        <v>0</v>
      </c>
      <c r="E219" s="34">
        <v>0</v>
      </c>
      <c r="F219" s="34">
        <v>302</v>
      </c>
      <c r="G219" s="34">
        <v>0</v>
      </c>
      <c r="H219" s="34"/>
      <c r="I219" s="34" t="s">
        <v>1561</v>
      </c>
      <c r="J219" s="34" t="s">
        <v>1561</v>
      </c>
      <c r="K219" s="107" t="s">
        <v>1561</v>
      </c>
      <c r="L219" s="34" t="s">
        <v>1561</v>
      </c>
    </row>
    <row r="220" spans="1:12" ht="16.5" x14ac:dyDescent="0.35">
      <c r="A220" s="109" t="str">
        <f>HYPERLINK("https://www.examplebusiness.com/team/robert-withers","https://www.examplebusiness.com/team/robert-withers")</f>
        <v>https://www.examplebusiness.com/team/robert-withers</v>
      </c>
      <c r="B220" s="34">
        <v>5</v>
      </c>
      <c r="C220" s="34">
        <v>0</v>
      </c>
      <c r="D220" s="34">
        <v>0</v>
      </c>
      <c r="E220" s="34">
        <v>0</v>
      </c>
      <c r="F220" s="34">
        <v>302</v>
      </c>
      <c r="G220" s="34">
        <v>0</v>
      </c>
      <c r="H220" s="34"/>
      <c r="I220" s="34" t="s">
        <v>1561</v>
      </c>
      <c r="J220" s="34" t="s">
        <v>1561</v>
      </c>
      <c r="K220" s="107" t="s">
        <v>1561</v>
      </c>
      <c r="L220" s="34" t="s">
        <v>1561</v>
      </c>
    </row>
    <row r="221" spans="1:12" ht="16.5" x14ac:dyDescent="0.35">
      <c r="A221" s="109" t="str">
        <f>HYPERLINK("https://www.examplebusiness.com/team/tom-whitnah","https://www.examplebusiness.com/team/tom-whitnah")</f>
        <v>https://www.examplebusiness.com/team/tom-whitnah</v>
      </c>
      <c r="B221" s="34">
        <v>5</v>
      </c>
      <c r="C221" s="34">
        <v>0</v>
      </c>
      <c r="D221" s="34">
        <v>0</v>
      </c>
      <c r="E221" s="34">
        <v>0</v>
      </c>
      <c r="F221" s="34">
        <v>302</v>
      </c>
      <c r="G221" s="34">
        <v>0</v>
      </c>
      <c r="H221" s="34"/>
      <c r="I221" s="34" t="s">
        <v>1561</v>
      </c>
      <c r="J221" s="34" t="s">
        <v>1561</v>
      </c>
      <c r="K221" s="107" t="s">
        <v>1561</v>
      </c>
      <c r="L221" s="34" t="s">
        <v>1561</v>
      </c>
    </row>
    <row r="222" spans="1:12" ht="16.5" x14ac:dyDescent="0.35">
      <c r="A222" s="106" t="str">
        <f>HYPERLINK("https://www.examplebusiness.com/join-us-no-testimonials","https://www.examplebusiness.com/join-us-no-testimonials")</f>
        <v>https://www.examplebusiness.com/join-us-no-testimonials</v>
      </c>
      <c r="B222" s="34">
        <v>4</v>
      </c>
      <c r="C222" s="34">
        <v>0</v>
      </c>
      <c r="D222" s="34">
        <v>0</v>
      </c>
      <c r="E222" s="34">
        <v>0</v>
      </c>
      <c r="F222" s="34">
        <v>200</v>
      </c>
      <c r="G222" s="34">
        <v>0</v>
      </c>
      <c r="H222" s="34"/>
      <c r="I222" s="34">
        <v>0</v>
      </c>
      <c r="J222" s="34">
        <v>40</v>
      </c>
      <c r="K222" s="107">
        <v>0</v>
      </c>
      <c r="L222" s="34">
        <v>3.38</v>
      </c>
    </row>
    <row r="223" spans="1:12" ht="16.5" x14ac:dyDescent="0.35">
      <c r="A223" s="106" t="str">
        <f>HYPERLINK("https://www.examplebusiness.com/lpl-research","https://www.examplebusiness.com/lpl-research")</f>
        <v>https://www.examplebusiness.com/lpl-research</v>
      </c>
      <c r="B223" s="34">
        <v>4</v>
      </c>
      <c r="C223" s="34">
        <v>0</v>
      </c>
      <c r="D223" s="34">
        <v>0</v>
      </c>
      <c r="E223" s="34">
        <v>0</v>
      </c>
      <c r="F223" s="34">
        <v>200</v>
      </c>
      <c r="G223" s="34">
        <v>0</v>
      </c>
      <c r="H223" s="34"/>
      <c r="I223" s="34">
        <v>0</v>
      </c>
      <c r="J223" s="34">
        <v>1</v>
      </c>
      <c r="K223" s="107">
        <v>0</v>
      </c>
      <c r="L223" s="34">
        <v>85</v>
      </c>
    </row>
    <row r="224" spans="1:12" ht="16.5" x14ac:dyDescent="0.35">
      <c r="A224" s="106" t="str">
        <f>HYPERLINK("https://www.examplebusiness.com/adviseabc","https://www.examplebusiness.com/adviseabc")</f>
        <v>https://www.examplebusiness.com/adviseabc</v>
      </c>
      <c r="B224" s="34">
        <v>4</v>
      </c>
      <c r="C224" s="34">
        <v>0</v>
      </c>
      <c r="D224" s="34">
        <v>0</v>
      </c>
      <c r="E224" s="34">
        <v>0</v>
      </c>
      <c r="F224" s="34">
        <v>200</v>
      </c>
      <c r="G224" s="34">
        <v>0</v>
      </c>
      <c r="H224" s="34"/>
      <c r="I224" s="34">
        <v>4</v>
      </c>
      <c r="J224" s="34">
        <v>19</v>
      </c>
      <c r="K224" s="107">
        <v>0.21049999999999999</v>
      </c>
      <c r="L224" s="34">
        <v>2.5299999999999998</v>
      </c>
    </row>
    <row r="225" spans="1:12" ht="16.5" x14ac:dyDescent="0.35">
      <c r="A225" s="106" t="str">
        <f>HYPERLINK("https://www.examplebusiness.com/about-new","https://www.examplebusiness.com/about-new")</f>
        <v>https://www.examplebusiness.com/about-new</v>
      </c>
      <c r="B225" s="34">
        <v>4</v>
      </c>
      <c r="C225" s="34">
        <v>0</v>
      </c>
      <c r="D225" s="34">
        <v>0</v>
      </c>
      <c r="E225" s="34">
        <v>0</v>
      </c>
      <c r="F225" s="34">
        <v>200</v>
      </c>
      <c r="G225" s="34">
        <v>0</v>
      </c>
      <c r="H225" s="34"/>
      <c r="I225" s="34">
        <v>0</v>
      </c>
      <c r="J225" s="34">
        <v>47</v>
      </c>
      <c r="K225" s="107">
        <v>0</v>
      </c>
      <c r="L225" s="34">
        <v>2.98</v>
      </c>
    </row>
    <row r="226" spans="1:12" ht="16.5" x14ac:dyDescent="0.35">
      <c r="A226" s="106" t="str">
        <f>HYPERLINK("https://www.examplebusiness.com/resource-center/retirement/retirement-realities","https://www.examplebusiness.com/resource-center/retirement/retirement-realities")</f>
        <v>https://www.examplebusiness.com/resource-center/retirement/retirement-realities</v>
      </c>
      <c r="B226" s="34">
        <v>4</v>
      </c>
      <c r="C226" s="34">
        <v>0</v>
      </c>
      <c r="D226" s="34">
        <v>0</v>
      </c>
      <c r="E226" s="34">
        <v>0</v>
      </c>
      <c r="F226" s="34">
        <v>200</v>
      </c>
      <c r="G226" s="34">
        <v>0</v>
      </c>
      <c r="H226" s="34"/>
      <c r="I226" s="34" t="s">
        <v>1561</v>
      </c>
      <c r="J226" s="34" t="s">
        <v>1561</v>
      </c>
      <c r="K226" s="107" t="s">
        <v>1561</v>
      </c>
      <c r="L226" s="34" t="s">
        <v>1561</v>
      </c>
    </row>
    <row r="227" spans="1:12" ht="16.5" x14ac:dyDescent="0.35">
      <c r="A227" s="106" t="str">
        <f>HYPERLINK("https://www.examplebusiness.com/successionabc","https://www.examplebusiness.com/successionabc")</f>
        <v>https://www.examplebusiness.com/successionabc</v>
      </c>
      <c r="B227" s="34">
        <v>4</v>
      </c>
      <c r="C227" s="34">
        <v>0</v>
      </c>
      <c r="D227" s="34">
        <v>0</v>
      </c>
      <c r="E227" s="34">
        <v>0</v>
      </c>
      <c r="F227" s="34">
        <v>200</v>
      </c>
      <c r="G227" s="34">
        <v>0</v>
      </c>
      <c r="H227" s="34"/>
      <c r="I227" s="34" t="s">
        <v>1561</v>
      </c>
      <c r="J227" s="34" t="s">
        <v>1561</v>
      </c>
      <c r="K227" s="107" t="s">
        <v>1561</v>
      </c>
      <c r="L227" s="34" t="s">
        <v>1561</v>
      </c>
    </row>
    <row r="228" spans="1:12" ht="16.5" x14ac:dyDescent="0.35">
      <c r="A228" s="106" t="str">
        <f>HYPERLINK("https://www.examplebusiness.com/services-new","https://www.examplebusiness.com/services-new")</f>
        <v>https://www.examplebusiness.com/services-new</v>
      </c>
      <c r="B228" s="34">
        <v>4</v>
      </c>
      <c r="C228" s="34">
        <v>1</v>
      </c>
      <c r="D228" s="34">
        <v>0</v>
      </c>
      <c r="E228" s="34">
        <v>1</v>
      </c>
      <c r="F228" s="34">
        <v>200</v>
      </c>
      <c r="G228" s="34">
        <v>0</v>
      </c>
      <c r="H228" s="34"/>
      <c r="I228" s="34">
        <v>0</v>
      </c>
      <c r="J228" s="34">
        <v>64</v>
      </c>
      <c r="K228" s="107">
        <v>0</v>
      </c>
      <c r="L228" s="34">
        <v>8.77</v>
      </c>
    </row>
    <row r="229" spans="1:12" ht="16.5" x14ac:dyDescent="0.35">
      <c r="A229" s="106" t="str">
        <f>HYPERLINK("https://www.examplebusiness.com/resource-center/retirement/how-retirement-spending-changes-with-time","https://www.examplebusiness.com/resource-center/retirement/how-retirement-spending-changes-with-time")</f>
        <v>https://www.examplebusiness.com/resource-center/retirement/how-retirement-spending-changes-with-time</v>
      </c>
      <c r="B229" s="34">
        <v>4</v>
      </c>
      <c r="C229" s="34">
        <v>0</v>
      </c>
      <c r="D229" s="34">
        <v>0</v>
      </c>
      <c r="E229" s="34">
        <v>0</v>
      </c>
      <c r="F229" s="34">
        <v>200</v>
      </c>
      <c r="G229" s="34">
        <v>0</v>
      </c>
      <c r="H229" s="34"/>
      <c r="I229" s="34" t="s">
        <v>1561</v>
      </c>
      <c r="J229" s="34" t="s">
        <v>1561</v>
      </c>
      <c r="K229" s="107" t="s">
        <v>1561</v>
      </c>
      <c r="L229" s="34" t="s">
        <v>1561</v>
      </c>
    </row>
    <row r="230" spans="1:12" ht="16.5" x14ac:dyDescent="0.35">
      <c r="A230" s="106" t="str">
        <f>HYPERLINK("https://www.examplebusiness.com/resource-center/money/the-half-million-dollar-baby","https://www.examplebusiness.com/resource-center/money/the-half-million-dollar-baby")</f>
        <v>https://www.examplebusiness.com/resource-center/money/the-half-million-dollar-baby</v>
      </c>
      <c r="B230" s="34">
        <v>4</v>
      </c>
      <c r="C230" s="34">
        <v>0</v>
      </c>
      <c r="D230" s="34">
        <v>0</v>
      </c>
      <c r="E230" s="34">
        <v>0</v>
      </c>
      <c r="F230" s="34">
        <v>200</v>
      </c>
      <c r="G230" s="34">
        <v>0</v>
      </c>
      <c r="H230" s="34"/>
      <c r="I230" s="34" t="s">
        <v>1561</v>
      </c>
      <c r="J230" s="34" t="s">
        <v>1561</v>
      </c>
      <c r="K230" s="107" t="s">
        <v>1561</v>
      </c>
      <c r="L230" s="34" t="s">
        <v>1561</v>
      </c>
    </row>
    <row r="231" spans="1:12" ht="16.5" x14ac:dyDescent="0.35">
      <c r="A231" s="106" t="str">
        <f>HYPERLINK("https://www.examplebusiness.com/resource-center/retirement/orchestrating-your-retirement-accounts","https://www.examplebusiness.com/resource-center/retirement/orchestrating-your-retirement-accounts")</f>
        <v>https://www.examplebusiness.com/resource-center/retirement/orchestrating-your-retirement-accounts</v>
      </c>
      <c r="B231" s="34">
        <v>4</v>
      </c>
      <c r="C231" s="34">
        <v>0</v>
      </c>
      <c r="D231" s="34">
        <v>0</v>
      </c>
      <c r="E231" s="34">
        <v>0</v>
      </c>
      <c r="F231" s="34">
        <v>200</v>
      </c>
      <c r="G231" s="34">
        <v>0</v>
      </c>
      <c r="H231" s="34"/>
      <c r="I231" s="34" t="s">
        <v>1561</v>
      </c>
      <c r="J231" s="34" t="s">
        <v>1561</v>
      </c>
      <c r="K231" s="107" t="s">
        <v>1561</v>
      </c>
      <c r="L231" s="34" t="s">
        <v>1561</v>
      </c>
    </row>
    <row r="232" spans="1:12" ht="16.5" x14ac:dyDescent="0.35">
      <c r="A232" s="106" t="str">
        <f>HYPERLINK("https://www.examplebusiness.com/resource-center/retirement/caring-for-aging-parents","https://www.examplebusiness.com/resource-center/retirement/caring-for-aging-parents")</f>
        <v>https://www.examplebusiness.com/resource-center/retirement/caring-for-aging-parents</v>
      </c>
      <c r="B232" s="34">
        <v>4</v>
      </c>
      <c r="C232" s="34">
        <v>0</v>
      </c>
      <c r="D232" s="34">
        <v>0</v>
      </c>
      <c r="E232" s="34">
        <v>0</v>
      </c>
      <c r="F232" s="34">
        <v>200</v>
      </c>
      <c r="G232" s="34">
        <v>0</v>
      </c>
      <c r="H232" s="34"/>
      <c r="I232" s="34" t="s">
        <v>1561</v>
      </c>
      <c r="J232" s="34" t="s">
        <v>1561</v>
      </c>
      <c r="K232" s="107" t="s">
        <v>1561</v>
      </c>
      <c r="L232" s="34" t="s">
        <v>1561</v>
      </c>
    </row>
    <row r="233" spans="1:12" ht="16.5" x14ac:dyDescent="0.35">
      <c r="A233" s="106" t="str">
        <f>HYPERLINK("https://www.examplebusiness.com/blog/coping-with-market-volatility-in-uncertain-times","https://www.examplebusiness.com/blog/coping-with-market-volatility-in-uncertain-times")</f>
        <v>https://www.examplebusiness.com/blog/coping-with-market-volatility-in-uncertain-times</v>
      </c>
      <c r="B233" s="34">
        <v>4</v>
      </c>
      <c r="C233" s="34">
        <v>0</v>
      </c>
      <c r="D233" s="34">
        <v>0</v>
      </c>
      <c r="E233" s="34">
        <v>0</v>
      </c>
      <c r="F233" s="34">
        <v>200</v>
      </c>
      <c r="G233" s="34">
        <v>0</v>
      </c>
      <c r="H233" s="34"/>
      <c r="I233" s="34">
        <v>0</v>
      </c>
      <c r="J233" s="34">
        <v>1</v>
      </c>
      <c r="K233" s="107">
        <v>0</v>
      </c>
      <c r="L233" s="34">
        <v>42</v>
      </c>
    </row>
    <row r="234" spans="1:12" ht="16.5" x14ac:dyDescent="0.35">
      <c r="A234" s="106" t="str">
        <f>HYPERLINK("https://www.examplebusiness.com/resource-center/insurance/the-basics-of-medicare","https://www.examplebusiness.com/resource-center/insurance/the-basics-of-medicare")</f>
        <v>https://www.examplebusiness.com/resource-center/insurance/the-basics-of-medicare</v>
      </c>
      <c r="B234" s="34">
        <v>4</v>
      </c>
      <c r="C234" s="34">
        <v>0</v>
      </c>
      <c r="D234" s="34">
        <v>0</v>
      </c>
      <c r="E234" s="34">
        <v>0</v>
      </c>
      <c r="F234" s="34">
        <v>200</v>
      </c>
      <c r="G234" s="34">
        <v>0</v>
      </c>
      <c r="H234" s="34"/>
      <c r="I234" s="34">
        <v>0</v>
      </c>
      <c r="J234" s="34">
        <v>2</v>
      </c>
      <c r="K234" s="107">
        <v>0</v>
      </c>
      <c r="L234" s="34">
        <v>8</v>
      </c>
    </row>
    <row r="235" spans="1:12" ht="16.5" x14ac:dyDescent="0.35">
      <c r="A235" s="106" t="str">
        <f>HYPERLINK("https://www.examplebusiness.com/resource-center/investment/the-great-debate-continues-active-vs-passive","https://www.examplebusiness.com/resource-center/investment/the-great-debate-continues-active-vs-passive")</f>
        <v>https://www.examplebusiness.com/resource-center/investment/the-great-debate-continues-active-vs-passive</v>
      </c>
      <c r="B235" s="34">
        <v>4</v>
      </c>
      <c r="C235" s="34">
        <v>0</v>
      </c>
      <c r="D235" s="34">
        <v>0</v>
      </c>
      <c r="E235" s="34">
        <v>0</v>
      </c>
      <c r="F235" s="34">
        <v>200</v>
      </c>
      <c r="G235" s="34">
        <v>0</v>
      </c>
      <c r="H235" s="34"/>
      <c r="I235" s="34">
        <v>0</v>
      </c>
      <c r="J235" s="34">
        <v>1</v>
      </c>
      <c r="K235" s="107">
        <v>0</v>
      </c>
      <c r="L235" s="34">
        <v>11</v>
      </c>
    </row>
    <row r="236" spans="1:12" ht="16.5" x14ac:dyDescent="0.35">
      <c r="A236" s="106" t="str">
        <f>HYPERLINK("https://www.examplebusiness.com/resource-center/insurance/stay-safe-with-a-bop-at-your-back","https://www.examplebusiness.com/resource-center/insurance/stay-safe-with-a-bop-at-your-back")</f>
        <v>https://www.examplebusiness.com/resource-center/insurance/stay-safe-with-a-bop-at-your-back</v>
      </c>
      <c r="B236" s="34">
        <v>4</v>
      </c>
      <c r="C236" s="34">
        <v>0</v>
      </c>
      <c r="D236" s="34">
        <v>0</v>
      </c>
      <c r="E236" s="34">
        <v>0</v>
      </c>
      <c r="F236" s="34">
        <v>200</v>
      </c>
      <c r="G236" s="34">
        <v>0</v>
      </c>
      <c r="H236" s="34"/>
      <c r="I236" s="34">
        <v>0</v>
      </c>
      <c r="J236" s="34">
        <v>4</v>
      </c>
      <c r="K236" s="107">
        <v>0</v>
      </c>
      <c r="L236" s="34">
        <v>27</v>
      </c>
    </row>
    <row r="237" spans="1:12" ht="16.5" x14ac:dyDescent="0.35">
      <c r="A237" s="106" t="str">
        <f>HYPERLINK("https://www.examplebusiness.com/resource-center/insurance/insurance-needs-assessment-for-empty-nesters-and-retirees","https://www.examplebusiness.com/resource-center/insurance/insurance-needs-assessment-for-empty-nesters-and-retirees")</f>
        <v>https://www.examplebusiness.com/resource-center/insurance/insurance-needs-assessment-for-empty-nesters-and-retirees</v>
      </c>
      <c r="B237" s="34">
        <v>4</v>
      </c>
      <c r="C237" s="34">
        <v>0</v>
      </c>
      <c r="D237" s="34">
        <v>0</v>
      </c>
      <c r="E237" s="34">
        <v>0</v>
      </c>
      <c r="F237" s="34">
        <v>200</v>
      </c>
      <c r="G237" s="34">
        <v>0</v>
      </c>
      <c r="H237" s="34"/>
      <c r="I237" s="34">
        <v>0</v>
      </c>
      <c r="J237" s="34">
        <v>5</v>
      </c>
      <c r="K237" s="107">
        <v>0</v>
      </c>
      <c r="L237" s="34">
        <v>15</v>
      </c>
    </row>
    <row r="238" spans="1:12" ht="16.5" x14ac:dyDescent="0.35">
      <c r="A238" s="106" t="str">
        <f>HYPERLINK("https://www.examplebusiness.com/resource-center/money/budgeting-after-a-divorce-1","https://www.examplebusiness.com/resource-center/money/budgeting-after-a-divorce-1")</f>
        <v>https://www.examplebusiness.com/resource-center/money/budgeting-after-a-divorce-1</v>
      </c>
      <c r="B238" s="34">
        <v>4</v>
      </c>
      <c r="C238" s="34">
        <v>0</v>
      </c>
      <c r="D238" s="34">
        <v>0</v>
      </c>
      <c r="E238" s="34">
        <v>0</v>
      </c>
      <c r="F238" s="34">
        <v>200</v>
      </c>
      <c r="G238" s="34">
        <v>0</v>
      </c>
      <c r="H238" s="34"/>
      <c r="I238" s="34" t="s">
        <v>1561</v>
      </c>
      <c r="J238" s="34" t="s">
        <v>1561</v>
      </c>
      <c r="K238" s="107" t="s">
        <v>1561</v>
      </c>
      <c r="L238" s="34" t="s">
        <v>1561</v>
      </c>
    </row>
    <row r="239" spans="1:12" ht="16.5" x14ac:dyDescent="0.35">
      <c r="A239" s="106" t="str">
        <f>HYPERLINK("https://www.examplebusiness.com/resource-center/investment/the-business-cycle","https://www.examplebusiness.com/resource-center/investment/the-business-cycle")</f>
        <v>https://www.examplebusiness.com/resource-center/investment/the-business-cycle</v>
      </c>
      <c r="B239" s="34">
        <v>4</v>
      </c>
      <c r="C239" s="34">
        <v>0</v>
      </c>
      <c r="D239" s="34">
        <v>0</v>
      </c>
      <c r="E239" s="34">
        <v>0</v>
      </c>
      <c r="F239" s="34">
        <v>200</v>
      </c>
      <c r="G239" s="34">
        <v>0</v>
      </c>
      <c r="H239" s="34"/>
      <c r="I239" s="34" t="s">
        <v>1561</v>
      </c>
      <c r="J239" s="34" t="s">
        <v>1561</v>
      </c>
      <c r="K239" s="107" t="s">
        <v>1561</v>
      </c>
      <c r="L239" s="34" t="s">
        <v>1561</v>
      </c>
    </row>
    <row r="240" spans="1:12" ht="16.5" x14ac:dyDescent="0.35">
      <c r="A240" s="106" t="str">
        <f>HYPERLINK("https://www.examplebusiness.com/resource-center/insurance/prescription-drug-benefits-under-medicare-part-d","https://www.examplebusiness.com/resource-center/insurance/prescription-drug-benefits-under-medicare-part-d")</f>
        <v>https://www.examplebusiness.com/resource-center/insurance/prescription-drug-benefits-under-medicare-part-d</v>
      </c>
      <c r="B240" s="34">
        <v>4</v>
      </c>
      <c r="C240" s="34">
        <v>0</v>
      </c>
      <c r="D240" s="34">
        <v>0</v>
      </c>
      <c r="E240" s="34">
        <v>0</v>
      </c>
      <c r="F240" s="34">
        <v>200</v>
      </c>
      <c r="G240" s="34">
        <v>0</v>
      </c>
      <c r="H240" s="34"/>
      <c r="I240" s="34" t="s">
        <v>1561</v>
      </c>
      <c r="J240" s="34" t="s">
        <v>1561</v>
      </c>
      <c r="K240" s="107" t="s">
        <v>1561</v>
      </c>
      <c r="L240" s="34" t="s">
        <v>1561</v>
      </c>
    </row>
    <row r="241" spans="1:12" ht="16.5" x14ac:dyDescent="0.35">
      <c r="A241" s="106" t="str">
        <f>HYPERLINK("https://www.examplebusiness.com/resource-center/lifestyle/retiring-wild-national-parks-and-you","https://www.examplebusiness.com/resource-center/lifestyle/retiring-wild-national-parks-and-you")</f>
        <v>https://www.examplebusiness.com/resource-center/lifestyle/retiring-wild-national-parks-and-you</v>
      </c>
      <c r="B241" s="34">
        <v>4</v>
      </c>
      <c r="C241" s="34">
        <v>0</v>
      </c>
      <c r="D241" s="34">
        <v>0</v>
      </c>
      <c r="E241" s="34">
        <v>0</v>
      </c>
      <c r="F241" s="34">
        <v>200</v>
      </c>
      <c r="G241" s="34">
        <v>0</v>
      </c>
      <c r="H241" s="34"/>
      <c r="I241" s="34" t="s">
        <v>1561</v>
      </c>
      <c r="J241" s="34" t="s">
        <v>1561</v>
      </c>
      <c r="K241" s="107" t="s">
        <v>1561</v>
      </c>
      <c r="L241" s="34" t="s">
        <v>1561</v>
      </c>
    </row>
    <row r="242" spans="1:12" ht="16.5" x14ac:dyDescent="0.35">
      <c r="A242" s="106" t="str">
        <f>HYPERLINK("https://www.examplebusiness.com/resource-center/investment/earnings-for-all-seasons","https://www.examplebusiness.com/resource-center/investment/earnings-for-all-seasons")</f>
        <v>https://www.examplebusiness.com/resource-center/investment/earnings-for-all-seasons</v>
      </c>
      <c r="B242" s="34">
        <v>4</v>
      </c>
      <c r="C242" s="34">
        <v>0</v>
      </c>
      <c r="D242" s="34">
        <v>0</v>
      </c>
      <c r="E242" s="34">
        <v>0</v>
      </c>
      <c r="F242" s="34">
        <v>200</v>
      </c>
      <c r="G242" s="34">
        <v>0</v>
      </c>
      <c r="H242" s="34"/>
      <c r="I242" s="34">
        <v>0</v>
      </c>
      <c r="J242" s="34">
        <v>4</v>
      </c>
      <c r="K242" s="107">
        <v>0</v>
      </c>
      <c r="L242" s="34">
        <v>22</v>
      </c>
    </row>
    <row r="243" spans="1:12" ht="16.5" x14ac:dyDescent="0.35">
      <c r="A243" s="106" t="str">
        <f>HYPERLINK("https://www.examplebusiness.com/resource-center/tax/tax-rules-when-selling-your-home","https://www.examplebusiness.com/resource-center/tax/tax-rules-when-selling-your-home")</f>
        <v>https://www.examplebusiness.com/resource-center/tax/tax-rules-when-selling-your-home</v>
      </c>
      <c r="B243" s="34">
        <v>4</v>
      </c>
      <c r="C243" s="34">
        <v>0</v>
      </c>
      <c r="D243" s="34">
        <v>0</v>
      </c>
      <c r="E243" s="34">
        <v>0</v>
      </c>
      <c r="F243" s="34">
        <v>200</v>
      </c>
      <c r="G243" s="34">
        <v>0</v>
      </c>
      <c r="H243" s="34"/>
      <c r="I243" s="34" t="s">
        <v>1561</v>
      </c>
      <c r="J243" s="34" t="s">
        <v>1561</v>
      </c>
      <c r="K243" s="107" t="s">
        <v>1561</v>
      </c>
      <c r="L243" s="34" t="s">
        <v>1561</v>
      </c>
    </row>
    <row r="244" spans="1:12" ht="16.5" x14ac:dyDescent="0.35">
      <c r="A244" s="106" t="str">
        <f>HYPERLINK("https://www.examplebusiness.com/blog/tax-reform-and-tax-preparation","https://www.examplebusiness.com/blog/tax-reform-and-tax-preparation")</f>
        <v>https://www.examplebusiness.com/blog/tax-reform-and-tax-preparation</v>
      </c>
      <c r="B244" s="34">
        <v>4</v>
      </c>
      <c r="C244" s="34">
        <v>0</v>
      </c>
      <c r="D244" s="34">
        <v>0</v>
      </c>
      <c r="E244" s="34">
        <v>0</v>
      </c>
      <c r="F244" s="34">
        <v>200</v>
      </c>
      <c r="G244" s="34">
        <v>0</v>
      </c>
      <c r="H244" s="34"/>
      <c r="I244" s="34" t="s">
        <v>1561</v>
      </c>
      <c r="J244" s="34" t="s">
        <v>1561</v>
      </c>
      <c r="K244" s="107" t="s">
        <v>1561</v>
      </c>
      <c r="L244" s="34" t="s">
        <v>1561</v>
      </c>
    </row>
    <row r="245" spans="1:12" ht="16.5" x14ac:dyDescent="0.35">
      <c r="A245" s="106" t="str">
        <f>HYPERLINK("https://www.examplebusiness.com/resource-center/investment/investing-with-your-heart","https://www.examplebusiness.com/resource-center/investment/investing-with-your-heart")</f>
        <v>https://www.examplebusiness.com/resource-center/investment/investing-with-your-heart</v>
      </c>
      <c r="B245" s="34">
        <v>4</v>
      </c>
      <c r="C245" s="34">
        <v>0</v>
      </c>
      <c r="D245" s="34">
        <v>0</v>
      </c>
      <c r="E245" s="34">
        <v>0</v>
      </c>
      <c r="F245" s="34">
        <v>200</v>
      </c>
      <c r="G245" s="34">
        <v>0</v>
      </c>
      <c r="H245" s="34"/>
      <c r="I245" s="34" t="s">
        <v>1561</v>
      </c>
      <c r="J245" s="34" t="s">
        <v>1561</v>
      </c>
      <c r="K245" s="107" t="s">
        <v>1561</v>
      </c>
      <c r="L245" s="34" t="s">
        <v>1561</v>
      </c>
    </row>
    <row r="246" spans="1:12" ht="16.5" x14ac:dyDescent="0.35">
      <c r="A246" s="106" t="str">
        <f>HYPERLINK("https://www.examplebusiness.com/blog/adding-a-personal-backup-with-a-living-trust","https://www.examplebusiness.com/blog/adding-a-personal-backup-with-a-living-trust")</f>
        <v>https://www.examplebusiness.com/blog/adding-a-personal-backup-with-a-living-trust</v>
      </c>
      <c r="B246" s="34">
        <v>4</v>
      </c>
      <c r="C246" s="34">
        <v>0</v>
      </c>
      <c r="D246" s="34">
        <v>0</v>
      </c>
      <c r="E246" s="34">
        <v>0</v>
      </c>
      <c r="F246" s="34">
        <v>200</v>
      </c>
      <c r="G246" s="34">
        <v>0</v>
      </c>
      <c r="H246" s="34"/>
      <c r="I246" s="34">
        <v>0</v>
      </c>
      <c r="J246" s="34">
        <v>4</v>
      </c>
      <c r="K246" s="107">
        <v>0</v>
      </c>
      <c r="L246" s="34">
        <v>76.25</v>
      </c>
    </row>
    <row r="247" spans="1:12" ht="16.5" x14ac:dyDescent="0.35">
      <c r="A247" s="106" t="str">
        <f>HYPERLINK("https://www.examplebusiness.com/resource-center/investment/the-junk-drawer-approach-to-investing","https://www.examplebusiness.com/resource-center/investment/the-junk-drawer-approach-to-investing")</f>
        <v>https://www.examplebusiness.com/resource-center/investment/the-junk-drawer-approach-to-investing</v>
      </c>
      <c r="B247" s="34">
        <v>4</v>
      </c>
      <c r="C247" s="34">
        <v>0</v>
      </c>
      <c r="D247" s="34">
        <v>0</v>
      </c>
      <c r="E247" s="34">
        <v>0</v>
      </c>
      <c r="F247" s="34">
        <v>200</v>
      </c>
      <c r="G247" s="34">
        <v>0</v>
      </c>
      <c r="H247" s="34"/>
      <c r="I247" s="34" t="s">
        <v>1561</v>
      </c>
      <c r="J247" s="34" t="s">
        <v>1561</v>
      </c>
      <c r="K247" s="107" t="s">
        <v>1561</v>
      </c>
      <c r="L247" s="34" t="s">
        <v>1561</v>
      </c>
    </row>
    <row r="248" spans="1:12" ht="16.5" x14ac:dyDescent="0.35">
      <c r="A248" s="106" t="str">
        <f>HYPERLINK("https://www.examplebusiness.com/resource-center/insurance/an-overview-of-renters-insurance","https://www.examplebusiness.com/resource-center/insurance/an-overview-of-renters-insurance")</f>
        <v>https://www.examplebusiness.com/resource-center/insurance/an-overview-of-renters-insurance</v>
      </c>
      <c r="B248" s="34">
        <v>4</v>
      </c>
      <c r="C248" s="34">
        <v>0</v>
      </c>
      <c r="D248" s="34">
        <v>0</v>
      </c>
      <c r="E248" s="34">
        <v>0</v>
      </c>
      <c r="F248" s="34">
        <v>200</v>
      </c>
      <c r="G248" s="34">
        <v>0</v>
      </c>
      <c r="H248" s="34"/>
      <c r="I248" s="34" t="s">
        <v>1561</v>
      </c>
      <c r="J248" s="34" t="s">
        <v>1561</v>
      </c>
      <c r="K248" s="107" t="s">
        <v>1561</v>
      </c>
      <c r="L248" s="34" t="s">
        <v>1561</v>
      </c>
    </row>
    <row r="249" spans="1:12" ht="16.5" x14ac:dyDescent="0.35">
      <c r="A249" s="106" t="str">
        <f>HYPERLINK("https://www.examplebusiness.com/resource-center/estate/exit-strategies-of-the-rich-and-famous","https://www.examplebusiness.com/resource-center/estate/exit-strategies-of-the-rich-and-famous")</f>
        <v>https://www.examplebusiness.com/resource-center/estate/exit-strategies-of-the-rich-and-famous</v>
      </c>
      <c r="B249" s="34">
        <v>4</v>
      </c>
      <c r="C249" s="34">
        <v>0</v>
      </c>
      <c r="D249" s="34">
        <v>0</v>
      </c>
      <c r="E249" s="34">
        <v>0</v>
      </c>
      <c r="F249" s="34">
        <v>200</v>
      </c>
      <c r="G249" s="34">
        <v>0</v>
      </c>
      <c r="H249" s="34"/>
      <c r="I249" s="34" t="s">
        <v>1561</v>
      </c>
      <c r="J249" s="34" t="s">
        <v>1561</v>
      </c>
      <c r="K249" s="107" t="s">
        <v>1561</v>
      </c>
      <c r="L249" s="34" t="s">
        <v>1561</v>
      </c>
    </row>
    <row r="250" spans="1:12" ht="16.5" x14ac:dyDescent="0.35">
      <c r="A250" s="106" t="str">
        <f>HYPERLINK("https://www.examplebusiness.com/blog/invest-your-tax-refund","https://www.examplebusiness.com/blog/invest-your-tax-refund")</f>
        <v>https://www.examplebusiness.com/blog/invest-your-tax-refund</v>
      </c>
      <c r="B250" s="34">
        <v>4</v>
      </c>
      <c r="C250" s="34">
        <v>0</v>
      </c>
      <c r="D250" s="34">
        <v>0</v>
      </c>
      <c r="E250" s="34">
        <v>0</v>
      </c>
      <c r="F250" s="34">
        <v>200</v>
      </c>
      <c r="G250" s="34">
        <v>0</v>
      </c>
      <c r="H250" s="34"/>
      <c r="I250" s="34" t="s">
        <v>1561</v>
      </c>
      <c r="J250" s="34" t="s">
        <v>1561</v>
      </c>
      <c r="K250" s="107" t="s">
        <v>1561</v>
      </c>
      <c r="L250" s="34" t="s">
        <v>1561</v>
      </c>
    </row>
    <row r="251" spans="1:12" ht="16.5" x14ac:dyDescent="0.35">
      <c r="A251" s="106" t="str">
        <f>HYPERLINK("https://www.examplebusiness.com/blog/mid-year-outlook-2019","https://www.examplebusiness.com/blog/mid-year-outlook-2019")</f>
        <v>https://www.examplebusiness.com/blog/mid-year-outlook-2019</v>
      </c>
      <c r="B251" s="34">
        <v>4</v>
      </c>
      <c r="C251" s="34">
        <v>0</v>
      </c>
      <c r="D251" s="34">
        <v>0</v>
      </c>
      <c r="E251" s="34">
        <v>0</v>
      </c>
      <c r="F251" s="34">
        <v>200</v>
      </c>
      <c r="G251" s="34">
        <v>0</v>
      </c>
      <c r="H251" s="34"/>
      <c r="I251" s="34" t="s">
        <v>1561</v>
      </c>
      <c r="J251" s="34" t="s">
        <v>1561</v>
      </c>
      <c r="K251" s="107" t="s">
        <v>1561</v>
      </c>
      <c r="L251" s="34" t="s">
        <v>1561</v>
      </c>
    </row>
    <row r="252" spans="1:12" ht="16.5" x14ac:dyDescent="0.35">
      <c r="A252" s="106" t="str">
        <f>HYPERLINK("https://www.examplebusiness.com/blog/how-a-financial-professional-can-guide-you-through-choppy-seas","https://www.examplebusiness.com/blog/how-a-financial-professional-can-guide-you-through-choppy-seas")</f>
        <v>https://www.examplebusiness.com/blog/how-a-financial-professional-can-guide-you-through-choppy-seas</v>
      </c>
      <c r="B252" s="34">
        <v>4</v>
      </c>
      <c r="C252" s="34">
        <v>0</v>
      </c>
      <c r="D252" s="34">
        <v>0</v>
      </c>
      <c r="E252" s="34">
        <v>0</v>
      </c>
      <c r="F252" s="34">
        <v>200</v>
      </c>
      <c r="G252" s="34">
        <v>0</v>
      </c>
      <c r="H252" s="34"/>
      <c r="I252" s="34" t="s">
        <v>1561</v>
      </c>
      <c r="J252" s="34" t="s">
        <v>1561</v>
      </c>
      <c r="K252" s="107" t="s">
        <v>1561</v>
      </c>
      <c r="L252" s="34" t="s">
        <v>1561</v>
      </c>
    </row>
    <row r="253" spans="1:12" ht="16.5" x14ac:dyDescent="0.35">
      <c r="A253" s="106" t="str">
        <f>HYPERLINK("https://www.examplebusiness.com/resource-center/estate/test-your-estate-strategy-knowledge","https://www.examplebusiness.com/resource-center/estate/test-your-estate-strategy-knowledge")</f>
        <v>https://www.examplebusiness.com/resource-center/estate/test-your-estate-strategy-knowledge</v>
      </c>
      <c r="B253" s="34">
        <v>4</v>
      </c>
      <c r="C253" s="34">
        <v>0</v>
      </c>
      <c r="D253" s="34">
        <v>0</v>
      </c>
      <c r="E253" s="34">
        <v>0</v>
      </c>
      <c r="F253" s="34">
        <v>200</v>
      </c>
      <c r="G253" s="34">
        <v>0</v>
      </c>
      <c r="H253" s="34"/>
      <c r="I253" s="34" t="s">
        <v>1561</v>
      </c>
      <c r="J253" s="34" t="s">
        <v>1561</v>
      </c>
      <c r="K253" s="107" t="s">
        <v>1561</v>
      </c>
      <c r="L253" s="34" t="s">
        <v>1561</v>
      </c>
    </row>
    <row r="254" spans="1:12" ht="16.5" x14ac:dyDescent="0.35">
      <c r="A254" s="106" t="str">
        <f>HYPERLINK("https://www.examplebusiness.com/resource-center/estate/will-power","https://www.examplebusiness.com/resource-center/estate/will-power")</f>
        <v>https://www.examplebusiness.com/resource-center/estate/will-power</v>
      </c>
      <c r="B254" s="34">
        <v>4</v>
      </c>
      <c r="C254" s="34">
        <v>0</v>
      </c>
      <c r="D254" s="34">
        <v>0</v>
      </c>
      <c r="E254" s="34">
        <v>0</v>
      </c>
      <c r="F254" s="34">
        <v>200</v>
      </c>
      <c r="G254" s="34">
        <v>0</v>
      </c>
      <c r="H254" s="34"/>
      <c r="I254" s="34" t="s">
        <v>1561</v>
      </c>
      <c r="J254" s="34" t="s">
        <v>1561</v>
      </c>
      <c r="K254" s="107" t="s">
        <v>1561</v>
      </c>
      <c r="L254" s="34" t="s">
        <v>1561</v>
      </c>
    </row>
    <row r="255" spans="1:12" ht="16.5" x14ac:dyDescent="0.35">
      <c r="A255" s="106" t="str">
        <f>HYPERLINK("https://www.examplebusiness.com/resource-center/estate/and-the-executor-is","https://www.examplebusiness.com/resource-center/estate/and-the-executor-is")</f>
        <v>https://www.examplebusiness.com/resource-center/estate/and-the-executor-is</v>
      </c>
      <c r="B255" s="34">
        <v>4</v>
      </c>
      <c r="C255" s="34">
        <v>0</v>
      </c>
      <c r="D255" s="34">
        <v>0</v>
      </c>
      <c r="E255" s="34">
        <v>0</v>
      </c>
      <c r="F255" s="34">
        <v>200</v>
      </c>
      <c r="G255" s="34">
        <v>0</v>
      </c>
      <c r="H255" s="34"/>
      <c r="I255" s="34" t="s">
        <v>1561</v>
      </c>
      <c r="J255" s="34" t="s">
        <v>1561</v>
      </c>
      <c r="K255" s="107" t="s">
        <v>1561</v>
      </c>
      <c r="L255" s="34" t="s">
        <v>1561</v>
      </c>
    </row>
    <row r="256" spans="1:12" ht="16.5" x14ac:dyDescent="0.35">
      <c r="A256" s="106" t="str">
        <f>HYPERLINK("https://www.examplebusiness.com/team/robert-withers-1","https://www.examplebusiness.com/team/robert-withers-1")</f>
        <v>https://www.examplebusiness.com/team/robert-withers-1</v>
      </c>
      <c r="B256" s="34">
        <v>4</v>
      </c>
      <c r="C256" s="34">
        <v>0</v>
      </c>
      <c r="D256" s="34">
        <v>0</v>
      </c>
      <c r="E256" s="34">
        <v>0</v>
      </c>
      <c r="F256" s="34">
        <v>200</v>
      </c>
      <c r="G256" s="34">
        <v>2</v>
      </c>
      <c r="H256" s="34"/>
      <c r="I256" s="34">
        <v>0</v>
      </c>
      <c r="J256" s="34">
        <v>28</v>
      </c>
      <c r="K256" s="107">
        <v>0</v>
      </c>
      <c r="L256" s="34">
        <v>36.54</v>
      </c>
    </row>
    <row r="257" spans="1:12" ht="16.5" x14ac:dyDescent="0.35">
      <c r="A257" s="106" t="str">
        <f>HYPERLINK("https://www.examplebusiness.com/resource-center/lifestyle/tips-to-prevent-marital-rift","https://www.examplebusiness.com/resource-center/lifestyle/tips-to-prevent-marital-rift")</f>
        <v>https://www.examplebusiness.com/resource-center/lifestyle/tips-to-prevent-marital-rift</v>
      </c>
      <c r="B257" s="34">
        <v>4</v>
      </c>
      <c r="C257" s="34">
        <v>0</v>
      </c>
      <c r="D257" s="34">
        <v>0</v>
      </c>
      <c r="E257" s="34">
        <v>0</v>
      </c>
      <c r="F257" s="34">
        <v>200</v>
      </c>
      <c r="G257" s="34">
        <v>0</v>
      </c>
      <c r="H257" s="34"/>
      <c r="I257" s="34" t="s">
        <v>1561</v>
      </c>
      <c r="J257" s="34" t="s">
        <v>1561</v>
      </c>
      <c r="K257" s="107" t="s">
        <v>1561</v>
      </c>
      <c r="L257" s="34" t="s">
        <v>1561</v>
      </c>
    </row>
    <row r="258" spans="1:12" ht="16.5" x14ac:dyDescent="0.35">
      <c r="A258" s="106" t="str">
        <f>HYPERLINK("https://www.examplebusiness.com/resource-center/lifestyle/forecast-video","https://www.examplebusiness.com/resource-center/lifestyle/forecast-video")</f>
        <v>https://www.examplebusiness.com/resource-center/lifestyle/forecast-video</v>
      </c>
      <c r="B258" s="34">
        <v>4</v>
      </c>
      <c r="C258" s="34">
        <v>0</v>
      </c>
      <c r="D258" s="34">
        <v>0</v>
      </c>
      <c r="E258" s="34">
        <v>0</v>
      </c>
      <c r="F258" s="34">
        <v>200</v>
      </c>
      <c r="G258" s="34">
        <v>0</v>
      </c>
      <c r="H258" s="34"/>
      <c r="I258" s="34" t="s">
        <v>1561</v>
      </c>
      <c r="J258" s="34" t="s">
        <v>1561</v>
      </c>
      <c r="K258" s="107" t="s">
        <v>1561</v>
      </c>
      <c r="L258" s="34" t="s">
        <v>1561</v>
      </c>
    </row>
    <row r="259" spans="1:12" ht="16.5" x14ac:dyDescent="0.35">
      <c r="A259" s="106" t="str">
        <f>HYPERLINK("https://www.examplebusiness.com/resource-center/retirement/important-birthdays-over-50","https://www.examplebusiness.com/resource-center/retirement/important-birthdays-over-50")</f>
        <v>https://www.examplebusiness.com/resource-center/retirement/important-birthdays-over-50</v>
      </c>
      <c r="B259" s="34">
        <v>4</v>
      </c>
      <c r="C259" s="34">
        <v>0</v>
      </c>
      <c r="D259" s="34">
        <v>0</v>
      </c>
      <c r="E259" s="34">
        <v>0</v>
      </c>
      <c r="F259" s="34">
        <v>200</v>
      </c>
      <c r="G259" s="34">
        <v>0</v>
      </c>
      <c r="H259" s="34"/>
      <c r="I259" s="34">
        <v>0</v>
      </c>
      <c r="J259" s="34">
        <v>1</v>
      </c>
      <c r="K259" s="107">
        <v>0</v>
      </c>
      <c r="L259" s="34">
        <v>172</v>
      </c>
    </row>
    <row r="260" spans="1:12" ht="16.5" x14ac:dyDescent="0.35">
      <c r="A260" s="106" t="str">
        <f>HYPERLINK("https://www.examplebusiness.com/resource-center/retirement/the-secure-act","https://www.examplebusiness.com/resource-center/retirement/the-secure-act")</f>
        <v>https://www.examplebusiness.com/resource-center/retirement/the-secure-act</v>
      </c>
      <c r="B260" s="34">
        <v>4</v>
      </c>
      <c r="C260" s="34">
        <v>0</v>
      </c>
      <c r="D260" s="34">
        <v>0</v>
      </c>
      <c r="E260" s="34">
        <v>0</v>
      </c>
      <c r="F260" s="34">
        <v>200</v>
      </c>
      <c r="G260" s="34">
        <v>0</v>
      </c>
      <c r="H260" s="34"/>
      <c r="I260" s="34" t="s">
        <v>1561</v>
      </c>
      <c r="J260" s="34" t="s">
        <v>1561</v>
      </c>
      <c r="K260" s="107" t="s">
        <v>1561</v>
      </c>
      <c r="L260" s="34" t="s">
        <v>1561</v>
      </c>
    </row>
    <row r="261" spans="1:12" ht="16.5" x14ac:dyDescent="0.35">
      <c r="A261" s="106" t="str">
        <f>HYPERLINK("https://www.examplebusiness.com/resource-center/lifestyle/should-you-choose-a-fixed-or-variable","https://www.examplebusiness.com/resource-center/lifestyle/should-you-choose-a-fixed-or-variable")</f>
        <v>https://www.examplebusiness.com/resource-center/lifestyle/should-you-choose-a-fixed-or-variable</v>
      </c>
      <c r="B261" s="34">
        <v>4</v>
      </c>
      <c r="C261" s="34">
        <v>0</v>
      </c>
      <c r="D261" s="34">
        <v>0</v>
      </c>
      <c r="E261" s="34">
        <v>0</v>
      </c>
      <c r="F261" s="34">
        <v>200</v>
      </c>
      <c r="G261" s="34">
        <v>0</v>
      </c>
      <c r="H261" s="34"/>
      <c r="I261" s="34">
        <v>0</v>
      </c>
      <c r="J261" s="34">
        <v>54</v>
      </c>
      <c r="K261" s="107">
        <v>0</v>
      </c>
      <c r="L261" s="34">
        <v>49.72</v>
      </c>
    </row>
    <row r="262" spans="1:12" ht="16.5" x14ac:dyDescent="0.35">
      <c r="A262" s="106" t="str">
        <f>HYPERLINK("https://www.examplebusiness.com/blog/evaluating-investment-risk","https://www.examplebusiness.com/blog/evaluating-investment-risk")</f>
        <v>https://www.examplebusiness.com/blog/evaluating-investment-risk</v>
      </c>
      <c r="B262" s="34">
        <v>4</v>
      </c>
      <c r="C262" s="34">
        <v>0</v>
      </c>
      <c r="D262" s="34">
        <v>0</v>
      </c>
      <c r="E262" s="34">
        <v>0</v>
      </c>
      <c r="F262" s="34">
        <v>200</v>
      </c>
      <c r="G262" s="34">
        <v>0</v>
      </c>
      <c r="H262" s="34"/>
      <c r="I262" s="34">
        <v>2</v>
      </c>
      <c r="J262" s="34">
        <v>50</v>
      </c>
      <c r="K262" s="107">
        <v>0.04</v>
      </c>
      <c r="L262" s="34">
        <v>18.46</v>
      </c>
    </row>
    <row r="263" spans="1:12" ht="16.5" x14ac:dyDescent="0.35">
      <c r="A263" s="106" t="str">
        <f>HYPERLINK("https://www.examplebusiness.com/resource-center/investment/the-ivory-tower-changes-wall-street","https://www.examplebusiness.com/resource-center/investment/the-ivory-tower-changes-wall-street")</f>
        <v>https://www.examplebusiness.com/resource-center/investment/the-ivory-tower-changes-wall-street</v>
      </c>
      <c r="B263" s="34">
        <v>4</v>
      </c>
      <c r="C263" s="34">
        <v>0</v>
      </c>
      <c r="D263" s="34">
        <v>0</v>
      </c>
      <c r="E263" s="34">
        <v>0</v>
      </c>
      <c r="F263" s="34">
        <v>200</v>
      </c>
      <c r="G263" s="34">
        <v>0</v>
      </c>
      <c r="H263" s="34"/>
      <c r="I263" s="34" t="s">
        <v>1561</v>
      </c>
      <c r="J263" s="34" t="s">
        <v>1561</v>
      </c>
      <c r="K263" s="107" t="s">
        <v>1561</v>
      </c>
      <c r="L263" s="34" t="s">
        <v>1561</v>
      </c>
    </row>
    <row r="264" spans="1:12" ht="16.5" x14ac:dyDescent="0.35">
      <c r="A264" s="106" t="str">
        <f>HYPERLINK("https://www.examplebusiness.com/blog/appropriate-checklists-for-year-end-tax-planning","https://www.examplebusiness.com/blog/appropriate-checklists-for-year-end-tax-planning")</f>
        <v>https://www.examplebusiness.com/blog/appropriate-checklists-for-year-end-tax-planning</v>
      </c>
      <c r="B264" s="34">
        <v>4</v>
      </c>
      <c r="C264" s="34">
        <v>0</v>
      </c>
      <c r="D264" s="34">
        <v>0</v>
      </c>
      <c r="E264" s="34">
        <v>0</v>
      </c>
      <c r="F264" s="34">
        <v>200</v>
      </c>
      <c r="G264" s="34">
        <v>0</v>
      </c>
      <c r="H264" s="34"/>
      <c r="I264" s="34" t="s">
        <v>1561</v>
      </c>
      <c r="J264" s="34" t="s">
        <v>1561</v>
      </c>
      <c r="K264" s="107" t="s">
        <v>1561</v>
      </c>
      <c r="L264" s="34" t="s">
        <v>1561</v>
      </c>
    </row>
    <row r="265" spans="1:12" ht="16.5" x14ac:dyDescent="0.35">
      <c r="A265" s="106" t="str">
        <f>HYPERLINK("https://www.examplebusiness.com/resource-center/retirement/immediate-vs-deferred-annuities","https://www.examplebusiness.com/resource-center/retirement/immediate-vs-deferred-annuities")</f>
        <v>https://www.examplebusiness.com/resource-center/retirement/immediate-vs-deferred-annuities</v>
      </c>
      <c r="B265" s="34">
        <v>4</v>
      </c>
      <c r="C265" s="34">
        <v>0</v>
      </c>
      <c r="D265" s="34">
        <v>0</v>
      </c>
      <c r="E265" s="34">
        <v>0</v>
      </c>
      <c r="F265" s="34">
        <v>200</v>
      </c>
      <c r="G265" s="34">
        <v>0</v>
      </c>
      <c r="H265" s="34"/>
      <c r="I265" s="34" t="s">
        <v>1561</v>
      </c>
      <c r="J265" s="34" t="s">
        <v>1561</v>
      </c>
      <c r="K265" s="107" t="s">
        <v>1561</v>
      </c>
      <c r="L265" s="34" t="s">
        <v>1561</v>
      </c>
    </row>
    <row r="266" spans="1:12" ht="16.5" x14ac:dyDescent="0.35">
      <c r="A266" s="106" t="str">
        <f>HYPERLINK("https://www.examplebusiness.com/blog/putting-things-in-perspective","https://www.examplebusiness.com/blog/putting-things-in-perspective")</f>
        <v>https://www.examplebusiness.com/blog/putting-things-in-perspective</v>
      </c>
      <c r="B266" s="34">
        <v>4</v>
      </c>
      <c r="C266" s="34">
        <v>0</v>
      </c>
      <c r="D266" s="34">
        <v>0</v>
      </c>
      <c r="E266" s="34">
        <v>0</v>
      </c>
      <c r="F266" s="34">
        <v>200</v>
      </c>
      <c r="G266" s="34">
        <v>0</v>
      </c>
      <c r="H266" s="34"/>
      <c r="I266" s="34" t="s">
        <v>1561</v>
      </c>
      <c r="J266" s="34" t="s">
        <v>1561</v>
      </c>
      <c r="K266" s="107" t="s">
        <v>1561</v>
      </c>
      <c r="L266" s="34" t="s">
        <v>1561</v>
      </c>
    </row>
    <row r="267" spans="1:12" ht="16.5" x14ac:dyDescent="0.35">
      <c r="A267" s="106" t="str">
        <f>HYPERLINK("https://www.examplebusiness.com/resource-center/investment/how-stocks-work","https://www.examplebusiness.com/resource-center/investment/how-stocks-work")</f>
        <v>https://www.examplebusiness.com/resource-center/investment/how-stocks-work</v>
      </c>
      <c r="B267" s="34">
        <v>4</v>
      </c>
      <c r="C267" s="34">
        <v>0</v>
      </c>
      <c r="D267" s="34">
        <v>0</v>
      </c>
      <c r="E267" s="34">
        <v>0</v>
      </c>
      <c r="F267" s="34">
        <v>200</v>
      </c>
      <c r="G267" s="34">
        <v>0</v>
      </c>
      <c r="H267" s="34"/>
      <c r="I267" s="34" t="s">
        <v>1561</v>
      </c>
      <c r="J267" s="34" t="s">
        <v>1561</v>
      </c>
      <c r="K267" s="107" t="s">
        <v>1561</v>
      </c>
      <c r="L267" s="34" t="s">
        <v>1561</v>
      </c>
    </row>
    <row r="268" spans="1:12" ht="16.5" x14ac:dyDescent="0.35">
      <c r="A268" s="106" t="str">
        <f>HYPERLINK("https://www.examplebusiness.com/resource-center/insurance/insuring-your-business-against-cyber-liability","https://www.examplebusiness.com/resource-center/insurance/insuring-your-business-against-cyber-liability")</f>
        <v>https://www.examplebusiness.com/resource-center/insurance/insuring-your-business-against-cyber-liability</v>
      </c>
      <c r="B268" s="34">
        <v>4</v>
      </c>
      <c r="C268" s="34">
        <v>0</v>
      </c>
      <c r="D268" s="34">
        <v>0</v>
      </c>
      <c r="E268" s="34">
        <v>0</v>
      </c>
      <c r="F268" s="34">
        <v>200</v>
      </c>
      <c r="G268" s="34">
        <v>0</v>
      </c>
      <c r="H268" s="34"/>
      <c r="I268" s="34" t="s">
        <v>1561</v>
      </c>
      <c r="J268" s="34" t="s">
        <v>1561</v>
      </c>
      <c r="K268" s="107" t="s">
        <v>1561</v>
      </c>
      <c r="L268" s="34" t="s">
        <v>1561</v>
      </c>
    </row>
    <row r="269" spans="1:12" ht="16.5" x14ac:dyDescent="0.35">
      <c r="A269" s="106" t="str">
        <f>HYPERLINK("https://www.examplebusiness.com/resource-center/money/the-five-basics-of-financial-literacy","https://www.examplebusiness.com/resource-center/money/the-five-basics-of-financial-literacy")</f>
        <v>https://www.examplebusiness.com/resource-center/money/the-five-basics-of-financial-literacy</v>
      </c>
      <c r="B269" s="34">
        <v>4</v>
      </c>
      <c r="C269" s="34">
        <v>0</v>
      </c>
      <c r="D269" s="34">
        <v>0</v>
      </c>
      <c r="E269" s="34">
        <v>0</v>
      </c>
      <c r="F269" s="34">
        <v>200</v>
      </c>
      <c r="G269" s="34">
        <v>0</v>
      </c>
      <c r="H269" s="34"/>
      <c r="I269" s="34" t="s">
        <v>1561</v>
      </c>
      <c r="J269" s="34" t="s">
        <v>1561</v>
      </c>
      <c r="K269" s="107" t="s">
        <v>1561</v>
      </c>
      <c r="L269" s="34" t="s">
        <v>1561</v>
      </c>
    </row>
    <row r="270" spans="1:12" ht="16.5" x14ac:dyDescent="0.35">
      <c r="A270" s="106" t="str">
        <f>HYPERLINK("https://www.examplebusiness.com/resource-center/retirement/rightsizing-for-retirement","https://www.examplebusiness.com/resource-center/retirement/rightsizing-for-retirement")</f>
        <v>https://www.examplebusiness.com/resource-center/retirement/rightsizing-for-retirement</v>
      </c>
      <c r="B270" s="34">
        <v>4</v>
      </c>
      <c r="C270" s="34">
        <v>0</v>
      </c>
      <c r="D270" s="34">
        <v>0</v>
      </c>
      <c r="E270" s="34">
        <v>0</v>
      </c>
      <c r="F270" s="34">
        <v>200</v>
      </c>
      <c r="G270" s="34">
        <v>0</v>
      </c>
      <c r="H270" s="34"/>
      <c r="I270" s="34">
        <v>0</v>
      </c>
      <c r="J270" s="34">
        <v>5</v>
      </c>
      <c r="K270" s="107">
        <v>0</v>
      </c>
      <c r="L270" s="34">
        <v>92.4</v>
      </c>
    </row>
    <row r="271" spans="1:12" ht="16.5" x14ac:dyDescent="0.35">
      <c r="A271" s="106" t="str">
        <f>HYPERLINK("https://www.examplebusiness.com/resource-center/investment/business-cycle","https://www.examplebusiness.com/resource-center/investment/business-cycle")</f>
        <v>https://www.examplebusiness.com/resource-center/investment/business-cycle</v>
      </c>
      <c r="B271" s="34">
        <v>4</v>
      </c>
      <c r="C271" s="34">
        <v>0</v>
      </c>
      <c r="D271" s="34">
        <v>0</v>
      </c>
      <c r="E271" s="34">
        <v>0</v>
      </c>
      <c r="F271" s="34">
        <v>200</v>
      </c>
      <c r="G271" s="34">
        <v>0</v>
      </c>
      <c r="H271" s="34"/>
      <c r="I271" s="34" t="s">
        <v>1561</v>
      </c>
      <c r="J271" s="34" t="s">
        <v>1561</v>
      </c>
      <c r="K271" s="107" t="s">
        <v>1561</v>
      </c>
      <c r="L271" s="34" t="s">
        <v>1561</v>
      </c>
    </row>
    <row r="272" spans="1:12" ht="16.5" x14ac:dyDescent="0.35">
      <c r="A272" s="106" t="str">
        <f>HYPERLINK("https://www.examplebusiness.com/resource-center/retirement/how-to-retire-early","https://www.examplebusiness.com/resource-center/retirement/how-to-retire-early")</f>
        <v>https://www.examplebusiness.com/resource-center/retirement/how-to-retire-early</v>
      </c>
      <c r="B272" s="34">
        <v>4</v>
      </c>
      <c r="C272" s="34">
        <v>0</v>
      </c>
      <c r="D272" s="34">
        <v>0</v>
      </c>
      <c r="E272" s="34">
        <v>0</v>
      </c>
      <c r="F272" s="34">
        <v>200</v>
      </c>
      <c r="G272" s="34">
        <v>0</v>
      </c>
      <c r="H272" s="34"/>
      <c r="I272" s="34">
        <v>0</v>
      </c>
      <c r="J272" s="34">
        <v>1</v>
      </c>
      <c r="K272" s="107">
        <v>0</v>
      </c>
      <c r="L272" s="34">
        <v>62</v>
      </c>
    </row>
    <row r="273" spans="1:12" ht="16.5" x14ac:dyDescent="0.35">
      <c r="A273" s="106" t="str">
        <f>HYPERLINK("https://www.examplebusiness.com/resource-center/money/countering-counterfeit-currency","https://www.examplebusiness.com/resource-center/money/countering-counterfeit-currency")</f>
        <v>https://www.examplebusiness.com/resource-center/money/countering-counterfeit-currency</v>
      </c>
      <c r="B273" s="34">
        <v>4</v>
      </c>
      <c r="C273" s="34">
        <v>0</v>
      </c>
      <c r="D273" s="34">
        <v>0</v>
      </c>
      <c r="E273" s="34">
        <v>0</v>
      </c>
      <c r="F273" s="34">
        <v>200</v>
      </c>
      <c r="G273" s="34">
        <v>0</v>
      </c>
      <c r="H273" s="34"/>
      <c r="I273" s="34" t="s">
        <v>1561</v>
      </c>
      <c r="J273" s="34" t="s">
        <v>1561</v>
      </c>
      <c r="K273" s="107" t="s">
        <v>1561</v>
      </c>
      <c r="L273" s="34" t="s">
        <v>1561</v>
      </c>
    </row>
    <row r="274" spans="1:12" ht="16.5" x14ac:dyDescent="0.35">
      <c r="A274" s="106" t="str">
        <f>HYPERLINK("https://www.examplebusiness.com/resource-center/lifestyle/saving-on-subscription-service-costs","https://www.examplebusiness.com/resource-center/lifestyle/saving-on-subscription-service-costs")</f>
        <v>https://www.examplebusiness.com/resource-center/lifestyle/saving-on-subscription-service-costs</v>
      </c>
      <c r="B274" s="34">
        <v>4</v>
      </c>
      <c r="C274" s="34">
        <v>0</v>
      </c>
      <c r="D274" s="34">
        <v>0</v>
      </c>
      <c r="E274" s="34">
        <v>0</v>
      </c>
      <c r="F274" s="34">
        <v>200</v>
      </c>
      <c r="G274" s="34">
        <v>0</v>
      </c>
      <c r="H274" s="34"/>
      <c r="I274" s="34" t="s">
        <v>1561</v>
      </c>
      <c r="J274" s="34" t="s">
        <v>1561</v>
      </c>
      <c r="K274" s="107" t="s">
        <v>1561</v>
      </c>
      <c r="L274" s="34" t="s">
        <v>1561</v>
      </c>
    </row>
    <row r="275" spans="1:12" ht="16.5" x14ac:dyDescent="0.35">
      <c r="A275" s="106" t="str">
        <f>HYPERLINK("https://www.examplebusiness.com/resource-center/lifestyle/building-your-legacy","https://www.examplebusiness.com/resource-center/lifestyle/building-your-legacy")</f>
        <v>https://www.examplebusiness.com/resource-center/lifestyle/building-your-legacy</v>
      </c>
      <c r="B275" s="34">
        <v>4</v>
      </c>
      <c r="C275" s="34">
        <v>0</v>
      </c>
      <c r="D275" s="34">
        <v>0</v>
      </c>
      <c r="E275" s="34">
        <v>0</v>
      </c>
      <c r="F275" s="34">
        <v>200</v>
      </c>
      <c r="G275" s="34">
        <v>0</v>
      </c>
      <c r="H275" s="34"/>
      <c r="I275" s="34" t="s">
        <v>1561</v>
      </c>
      <c r="J275" s="34" t="s">
        <v>1561</v>
      </c>
      <c r="K275" s="107" t="s">
        <v>1561</v>
      </c>
      <c r="L275" s="34" t="s">
        <v>1561</v>
      </c>
    </row>
    <row r="276" spans="1:12" ht="16.5" x14ac:dyDescent="0.35">
      <c r="A276" s="106" t="str">
        <f>HYPERLINK("https://www.examplebusiness.com/resource-center/investment/a-look-at-diversification","https://www.examplebusiness.com/resource-center/investment/a-look-at-diversification")</f>
        <v>https://www.examplebusiness.com/resource-center/investment/a-look-at-diversification</v>
      </c>
      <c r="B276" s="34">
        <v>4</v>
      </c>
      <c r="C276" s="34">
        <v>0</v>
      </c>
      <c r="D276" s="34">
        <v>0</v>
      </c>
      <c r="E276" s="34">
        <v>0</v>
      </c>
      <c r="F276" s="34">
        <v>200</v>
      </c>
      <c r="G276" s="34">
        <v>0</v>
      </c>
      <c r="H276" s="34"/>
      <c r="I276" s="34" t="s">
        <v>1561</v>
      </c>
      <c r="J276" s="34" t="s">
        <v>1561</v>
      </c>
      <c r="K276" s="107" t="s">
        <v>1561</v>
      </c>
      <c r="L276" s="34" t="s">
        <v>1561</v>
      </c>
    </row>
    <row r="277" spans="1:12" ht="16.5" x14ac:dyDescent="0.35">
      <c r="A277" s="106" t="str">
        <f>HYPERLINK("https://www.examplebusiness.com/resource-center/insurance/assess-life-insurance-needs","https://www.examplebusiness.com/resource-center/insurance/assess-life-insurance-needs")</f>
        <v>https://www.examplebusiness.com/resource-center/insurance/assess-life-insurance-needs</v>
      </c>
      <c r="B277" s="34">
        <v>4</v>
      </c>
      <c r="C277" s="34">
        <v>0</v>
      </c>
      <c r="D277" s="34">
        <v>0</v>
      </c>
      <c r="E277" s="34">
        <v>0</v>
      </c>
      <c r="F277" s="34">
        <v>200</v>
      </c>
      <c r="G277" s="34">
        <v>0</v>
      </c>
      <c r="H277" s="34"/>
      <c r="I277" s="34" t="s">
        <v>1561</v>
      </c>
      <c r="J277" s="34" t="s">
        <v>1561</v>
      </c>
      <c r="K277" s="107" t="s">
        <v>1561</v>
      </c>
      <c r="L277" s="34" t="s">
        <v>1561</v>
      </c>
    </row>
    <row r="278" spans="1:12" ht="16.5" x14ac:dyDescent="0.35">
      <c r="A278" s="106" t="str">
        <f>HYPERLINK("https://www.examplebusiness.com/blog/6-things-to-know-about-retirement-and-the-coronavirus-relief-bill","https://www.examplebusiness.com/blog/6-things-to-know-about-retirement-and-the-coronavirus-relief-bill")</f>
        <v>https://www.examplebusiness.com/blog/6-things-to-know-about-retirement-and-the-coronavirus-relief-bill</v>
      </c>
      <c r="B278" s="34">
        <v>4</v>
      </c>
      <c r="C278" s="34">
        <v>0</v>
      </c>
      <c r="D278" s="34">
        <v>0</v>
      </c>
      <c r="E278" s="34">
        <v>0</v>
      </c>
      <c r="F278" s="34">
        <v>200</v>
      </c>
      <c r="G278" s="34">
        <v>0</v>
      </c>
      <c r="H278" s="34"/>
      <c r="I278" s="34">
        <v>0</v>
      </c>
      <c r="J278" s="34">
        <v>1</v>
      </c>
      <c r="K278" s="107">
        <v>0</v>
      </c>
      <c r="L278" s="34">
        <v>37</v>
      </c>
    </row>
    <row r="279" spans="1:12" ht="16.5" x14ac:dyDescent="0.35">
      <c r="A279" s="106" t="str">
        <f>HYPERLINK("https://www.examplebusiness.com/resource-center/estate/four-reasons-millenials-need-an-estate-strategy","https://www.examplebusiness.com/resource-center/estate/four-reasons-millenials-need-an-estate-strategy")</f>
        <v>https://www.examplebusiness.com/resource-center/estate/four-reasons-millenials-need-an-estate-strategy</v>
      </c>
      <c r="B279" s="34">
        <v>4</v>
      </c>
      <c r="C279" s="34">
        <v>0</v>
      </c>
      <c r="D279" s="34">
        <v>0</v>
      </c>
      <c r="E279" s="34">
        <v>0</v>
      </c>
      <c r="F279" s="34">
        <v>200</v>
      </c>
      <c r="G279" s="34">
        <v>0</v>
      </c>
      <c r="H279" s="34"/>
      <c r="I279" s="34" t="s">
        <v>1561</v>
      </c>
      <c r="J279" s="34" t="s">
        <v>1561</v>
      </c>
      <c r="K279" s="107" t="s">
        <v>1561</v>
      </c>
      <c r="L279" s="34" t="s">
        <v>1561</v>
      </c>
    </row>
    <row r="280" spans="1:12" ht="16.5" x14ac:dyDescent="0.35">
      <c r="A280" s="106" t="str">
        <f>HYPERLINK("https://www.examplebusiness.com/blog/5-ways-to-build-a-better-tax-plan","https://www.examplebusiness.com/blog/5-ways-to-build-a-better-tax-plan")</f>
        <v>https://www.examplebusiness.com/blog/5-ways-to-build-a-better-tax-plan</v>
      </c>
      <c r="B280" s="34">
        <v>4</v>
      </c>
      <c r="C280" s="34">
        <v>0</v>
      </c>
      <c r="D280" s="34">
        <v>0</v>
      </c>
      <c r="E280" s="34">
        <v>0</v>
      </c>
      <c r="F280" s="34">
        <v>200</v>
      </c>
      <c r="G280" s="34">
        <v>0</v>
      </c>
      <c r="H280" s="34"/>
      <c r="I280" s="34" t="s">
        <v>1561</v>
      </c>
      <c r="J280" s="34" t="s">
        <v>1561</v>
      </c>
      <c r="K280" s="107" t="s">
        <v>1561</v>
      </c>
      <c r="L280" s="34" t="s">
        <v>1561</v>
      </c>
    </row>
    <row r="281" spans="1:12" ht="16.5" x14ac:dyDescent="0.35">
      <c r="A281" s="106" t="str">
        <f>HYPERLINK("https://www.examplebusiness.com/blog/balancing-act-saving-for-both-retirement-and-college","https://www.examplebusiness.com/blog/balancing-act-saving-for-both-retirement-and-college")</f>
        <v>https://www.examplebusiness.com/blog/balancing-act-saving-for-both-retirement-and-college</v>
      </c>
      <c r="B281" s="34">
        <v>4</v>
      </c>
      <c r="C281" s="34">
        <v>0</v>
      </c>
      <c r="D281" s="34">
        <v>0</v>
      </c>
      <c r="E281" s="34">
        <v>0</v>
      </c>
      <c r="F281" s="34">
        <v>200</v>
      </c>
      <c r="G281" s="34">
        <v>0</v>
      </c>
      <c r="H281" s="34"/>
      <c r="I281" s="34" t="s">
        <v>1561</v>
      </c>
      <c r="J281" s="34" t="s">
        <v>1561</v>
      </c>
      <c r="K281" s="107" t="s">
        <v>1561</v>
      </c>
      <c r="L281" s="34" t="s">
        <v>1561</v>
      </c>
    </row>
    <row r="282" spans="1:12" ht="16.5" x14ac:dyDescent="0.35">
      <c r="A282" s="106" t="str">
        <f>HYPERLINK("https://www.examplebusiness.com/resource-center/investment/getting-a-head-start-on-college-savings","https://www.examplebusiness.com/resource-center/investment/getting-a-head-start-on-college-savings")</f>
        <v>https://www.examplebusiness.com/resource-center/investment/getting-a-head-start-on-college-savings</v>
      </c>
      <c r="B282" s="34">
        <v>4</v>
      </c>
      <c r="C282" s="34">
        <v>0</v>
      </c>
      <c r="D282" s="34">
        <v>0</v>
      </c>
      <c r="E282" s="34">
        <v>0</v>
      </c>
      <c r="F282" s="34">
        <v>200</v>
      </c>
      <c r="G282" s="34">
        <v>0</v>
      </c>
      <c r="H282" s="34"/>
      <c r="I282" s="34" t="s">
        <v>1561</v>
      </c>
      <c r="J282" s="34" t="s">
        <v>1561</v>
      </c>
      <c r="K282" s="107" t="s">
        <v>1561</v>
      </c>
      <c r="L282" s="34" t="s">
        <v>1561</v>
      </c>
    </row>
    <row r="283" spans="1:12" ht="16.5" x14ac:dyDescent="0.35">
      <c r="A283" s="106" t="str">
        <f>HYPERLINK("https://www.examplebusiness.com/resource-center/insurance/making-sense-of-a-home-warranty","https://www.examplebusiness.com/resource-center/insurance/making-sense-of-a-home-warranty")</f>
        <v>https://www.examplebusiness.com/resource-center/insurance/making-sense-of-a-home-warranty</v>
      </c>
      <c r="B283" s="34">
        <v>4</v>
      </c>
      <c r="C283" s="34">
        <v>0</v>
      </c>
      <c r="D283" s="34">
        <v>0</v>
      </c>
      <c r="E283" s="34">
        <v>0</v>
      </c>
      <c r="F283" s="34">
        <v>200</v>
      </c>
      <c r="G283" s="34">
        <v>0</v>
      </c>
      <c r="H283" s="34"/>
      <c r="I283" s="34">
        <v>0</v>
      </c>
      <c r="J283" s="34">
        <v>9</v>
      </c>
      <c r="K283" s="107">
        <v>0</v>
      </c>
      <c r="L283" s="34">
        <v>54.33</v>
      </c>
    </row>
    <row r="284" spans="1:12" ht="16.5" x14ac:dyDescent="0.35">
      <c r="A284" s="106" t="str">
        <f>HYPERLINK("https://www.examplebusiness.com/resource-center/estate/a-brief-history-of-estate-taxes","https://www.examplebusiness.com/resource-center/estate/a-brief-history-of-estate-taxes")</f>
        <v>https://www.examplebusiness.com/resource-center/estate/a-brief-history-of-estate-taxes</v>
      </c>
      <c r="B284" s="34">
        <v>4</v>
      </c>
      <c r="C284" s="34">
        <v>0</v>
      </c>
      <c r="D284" s="34">
        <v>0</v>
      </c>
      <c r="E284" s="34">
        <v>0</v>
      </c>
      <c r="F284" s="34">
        <v>200</v>
      </c>
      <c r="G284" s="34">
        <v>0</v>
      </c>
      <c r="H284" s="34"/>
      <c r="I284" s="34" t="s">
        <v>1561</v>
      </c>
      <c r="J284" s="34" t="s">
        <v>1561</v>
      </c>
      <c r="K284" s="107" t="s">
        <v>1561</v>
      </c>
      <c r="L284" s="34" t="s">
        <v>1561</v>
      </c>
    </row>
    <row r="285" spans="1:12" ht="16.5" x14ac:dyDescent="0.35">
      <c r="A285" s="106" t="str">
        <f>HYPERLINK("https://www.examplebusiness.com/resource-center/investment/a-primer-on-dividends","https://www.examplebusiness.com/resource-center/investment/a-primer-on-dividends")</f>
        <v>https://www.examplebusiness.com/resource-center/investment/a-primer-on-dividends</v>
      </c>
      <c r="B285" s="34">
        <v>4</v>
      </c>
      <c r="C285" s="34">
        <v>0</v>
      </c>
      <c r="D285" s="34">
        <v>0</v>
      </c>
      <c r="E285" s="34">
        <v>0</v>
      </c>
      <c r="F285" s="34">
        <v>200</v>
      </c>
      <c r="G285" s="34">
        <v>0</v>
      </c>
      <c r="H285" s="34"/>
      <c r="I285" s="34" t="s">
        <v>1561</v>
      </c>
      <c r="J285" s="34" t="s">
        <v>1561</v>
      </c>
      <c r="K285" s="107" t="s">
        <v>1561</v>
      </c>
      <c r="L285" s="34" t="s">
        <v>1561</v>
      </c>
    </row>
    <row r="286" spans="1:12" ht="16.5" x14ac:dyDescent="0.35">
      <c r="A286" s="106" t="str">
        <f>HYPERLINK("https://www.examplebusiness.com/resource-center/tax/tax-deductions-you-wont-believe","https://www.examplebusiness.com/resource-center/tax/tax-deductions-you-wont-believe")</f>
        <v>https://www.examplebusiness.com/resource-center/tax/tax-deductions-you-wont-believe</v>
      </c>
      <c r="B286" s="34">
        <v>4</v>
      </c>
      <c r="C286" s="34">
        <v>0</v>
      </c>
      <c r="D286" s="34">
        <v>0</v>
      </c>
      <c r="E286" s="34">
        <v>0</v>
      </c>
      <c r="F286" s="34">
        <v>200</v>
      </c>
      <c r="G286" s="34">
        <v>0</v>
      </c>
      <c r="H286" s="34"/>
      <c r="I286" s="34" t="s">
        <v>1561</v>
      </c>
      <c r="J286" s="34" t="s">
        <v>1561</v>
      </c>
      <c r="K286" s="107" t="s">
        <v>1561</v>
      </c>
      <c r="L286" s="34" t="s">
        <v>1561</v>
      </c>
    </row>
    <row r="287" spans="1:12" ht="16.5" x14ac:dyDescent="0.35">
      <c r="A287" s="106" t="str">
        <f>HYPERLINK("https://www.examplebusiness.com/team/dan-mohoney-1","https://www.examplebusiness.com/team/dan-mohoney-1")</f>
        <v>https://www.examplebusiness.com/team/dan-mohoney-1</v>
      </c>
      <c r="B287" s="34">
        <v>4</v>
      </c>
      <c r="C287" s="34">
        <v>1</v>
      </c>
      <c r="D287" s="34">
        <v>0</v>
      </c>
      <c r="E287" s="34">
        <v>1</v>
      </c>
      <c r="F287" s="34">
        <v>200</v>
      </c>
      <c r="G287" s="34">
        <v>0</v>
      </c>
      <c r="H287" s="34"/>
      <c r="I287" s="34">
        <v>3</v>
      </c>
      <c r="J287" s="34">
        <v>20</v>
      </c>
      <c r="K287" s="107">
        <v>0.15</v>
      </c>
      <c r="L287" s="34">
        <v>27.1</v>
      </c>
    </row>
    <row r="288" spans="1:12" ht="16.5" x14ac:dyDescent="0.35">
      <c r="A288" s="106" t="str">
        <f>HYPERLINK("https://www.examplebusiness.com/resource-center/investment/investment-challenges-of-the-affluent-investor","https://www.examplebusiness.com/resource-center/investment/investment-challenges-of-the-affluent-investor")</f>
        <v>https://www.examplebusiness.com/resource-center/investment/investment-challenges-of-the-affluent-investor</v>
      </c>
      <c r="B288" s="34">
        <v>4</v>
      </c>
      <c r="C288" s="34">
        <v>0</v>
      </c>
      <c r="D288" s="34">
        <v>0</v>
      </c>
      <c r="E288" s="34">
        <v>0</v>
      </c>
      <c r="F288" s="34">
        <v>200</v>
      </c>
      <c r="G288" s="34">
        <v>0</v>
      </c>
      <c r="H288" s="34"/>
      <c r="I288" s="34" t="s">
        <v>1561</v>
      </c>
      <c r="J288" s="34" t="s">
        <v>1561</v>
      </c>
      <c r="K288" s="107" t="s">
        <v>1561</v>
      </c>
      <c r="L288" s="34" t="s">
        <v>1561</v>
      </c>
    </row>
    <row r="289" spans="1:12" ht="16.5" x14ac:dyDescent="0.35">
      <c r="A289" s="106" t="str">
        <f>HYPERLINK("https://www.examplebusiness.com/resource-center/lifestyle/best-vacations-by-car-by-ship-by-foot-once-in-a-lifetime","https://www.examplebusiness.com/resource-center/lifestyle/best-vacations-by-car-by-ship-by-foot-once-in-a-lifetime")</f>
        <v>https://www.examplebusiness.com/resource-center/lifestyle/best-vacations-by-car-by-ship-by-foot-once-in-a-lifetime</v>
      </c>
      <c r="B289" s="34">
        <v>4</v>
      </c>
      <c r="C289" s="34">
        <v>0</v>
      </c>
      <c r="D289" s="34">
        <v>0</v>
      </c>
      <c r="E289" s="34">
        <v>0</v>
      </c>
      <c r="F289" s="34">
        <v>200</v>
      </c>
      <c r="G289" s="34">
        <v>0</v>
      </c>
      <c r="H289" s="34"/>
      <c r="I289" s="34" t="s">
        <v>1561</v>
      </c>
      <c r="J289" s="34" t="s">
        <v>1561</v>
      </c>
      <c r="K289" s="107" t="s">
        <v>1561</v>
      </c>
      <c r="L289" s="34" t="s">
        <v>1561</v>
      </c>
    </row>
    <row r="290" spans="1:12" ht="16.5" x14ac:dyDescent="0.35">
      <c r="A290" s="106" t="str">
        <f>HYPERLINK("https://www.examplebusiness.com/resource-center/estate/succeeding-at-business-succession","https://www.examplebusiness.com/resource-center/estate/succeeding-at-business-succession")</f>
        <v>https://www.examplebusiness.com/resource-center/estate/succeeding-at-business-succession</v>
      </c>
      <c r="B290" s="34">
        <v>4</v>
      </c>
      <c r="C290" s="34">
        <v>0</v>
      </c>
      <c r="D290" s="34">
        <v>0</v>
      </c>
      <c r="E290" s="34">
        <v>0</v>
      </c>
      <c r="F290" s="34">
        <v>200</v>
      </c>
      <c r="G290" s="34">
        <v>0</v>
      </c>
      <c r="H290" s="34"/>
      <c r="I290" s="34" t="s">
        <v>1561</v>
      </c>
      <c r="J290" s="34" t="s">
        <v>1561</v>
      </c>
      <c r="K290" s="107" t="s">
        <v>1561</v>
      </c>
      <c r="L290" s="34" t="s">
        <v>1561</v>
      </c>
    </row>
    <row r="291" spans="1:12" ht="16.5" x14ac:dyDescent="0.35">
      <c r="A291" s="106" t="str">
        <f>HYPERLINK("https://www.examplebusiness.com/resource-center/retirement/what-is-an-annuity","https://www.examplebusiness.com/resource-center/retirement/what-is-an-annuity")</f>
        <v>https://www.examplebusiness.com/resource-center/retirement/what-is-an-annuity</v>
      </c>
      <c r="B291" s="34">
        <v>4</v>
      </c>
      <c r="C291" s="34">
        <v>0</v>
      </c>
      <c r="D291" s="34">
        <v>0</v>
      </c>
      <c r="E291" s="34">
        <v>0</v>
      </c>
      <c r="F291" s="34">
        <v>200</v>
      </c>
      <c r="G291" s="34">
        <v>0</v>
      </c>
      <c r="H291" s="34"/>
      <c r="I291" s="34" t="s">
        <v>1561</v>
      </c>
      <c r="J291" s="34" t="s">
        <v>1561</v>
      </c>
      <c r="K291" s="107" t="s">
        <v>1561</v>
      </c>
      <c r="L291" s="34" t="s">
        <v>1561</v>
      </c>
    </row>
    <row r="292" spans="1:12" ht="16.5" x14ac:dyDescent="0.35">
      <c r="A292" s="106" t="str">
        <f>HYPERLINK("https://www.examplebusiness.com/resource-center/investment/how-the-federal-reserve-works","https://www.examplebusiness.com/resource-center/investment/how-the-federal-reserve-works")</f>
        <v>https://www.examplebusiness.com/resource-center/investment/how-the-federal-reserve-works</v>
      </c>
      <c r="B292" s="34">
        <v>4</v>
      </c>
      <c r="C292" s="34">
        <v>0</v>
      </c>
      <c r="D292" s="34">
        <v>0</v>
      </c>
      <c r="E292" s="34">
        <v>0</v>
      </c>
      <c r="F292" s="34">
        <v>200</v>
      </c>
      <c r="G292" s="34">
        <v>0</v>
      </c>
      <c r="H292" s="34"/>
      <c r="I292" s="34" t="s">
        <v>1561</v>
      </c>
      <c r="J292" s="34" t="s">
        <v>1561</v>
      </c>
      <c r="K292" s="107" t="s">
        <v>1561</v>
      </c>
      <c r="L292" s="34" t="s">
        <v>1561</v>
      </c>
    </row>
    <row r="293" spans="1:12" ht="16.5" x14ac:dyDescent="0.35">
      <c r="A293" s="106" t="str">
        <f>HYPERLINK("https://www.examplebusiness.com/resource-center/investment/all-muni-bonds-are-not-created-equal","https://www.examplebusiness.com/resource-center/investment/all-muni-bonds-are-not-created-equal")</f>
        <v>https://www.examplebusiness.com/resource-center/investment/all-muni-bonds-are-not-created-equal</v>
      </c>
      <c r="B293" s="34">
        <v>4</v>
      </c>
      <c r="C293" s="34">
        <v>0</v>
      </c>
      <c r="D293" s="34">
        <v>0</v>
      </c>
      <c r="E293" s="34">
        <v>0</v>
      </c>
      <c r="F293" s="34">
        <v>200</v>
      </c>
      <c r="G293" s="34">
        <v>0</v>
      </c>
      <c r="H293" s="34"/>
      <c r="I293" s="34" t="s">
        <v>1561</v>
      </c>
      <c r="J293" s="34" t="s">
        <v>1561</v>
      </c>
      <c r="K293" s="107" t="s">
        <v>1561</v>
      </c>
      <c r="L293" s="34" t="s">
        <v>1561</v>
      </c>
    </row>
    <row r="294" spans="1:12" ht="16.5" x14ac:dyDescent="0.35">
      <c r="A294" s="106" t="str">
        <f>HYPERLINK("https://www.examplebusiness.com/resource-center/estate/estate-management-checklist","https://www.examplebusiness.com/resource-center/estate/estate-management-checklist")</f>
        <v>https://www.examplebusiness.com/resource-center/estate/estate-management-checklist</v>
      </c>
      <c r="B294" s="34">
        <v>4</v>
      </c>
      <c r="C294" s="34">
        <v>0</v>
      </c>
      <c r="D294" s="34">
        <v>0</v>
      </c>
      <c r="E294" s="34">
        <v>0</v>
      </c>
      <c r="F294" s="34">
        <v>200</v>
      </c>
      <c r="G294" s="34">
        <v>0</v>
      </c>
      <c r="H294" s="34"/>
      <c r="I294" s="34" t="s">
        <v>1561</v>
      </c>
      <c r="J294" s="34" t="s">
        <v>1561</v>
      </c>
      <c r="K294" s="107" t="s">
        <v>1561</v>
      </c>
      <c r="L294" s="34" t="s">
        <v>1561</v>
      </c>
    </row>
    <row r="295" spans="1:12" ht="16.5" x14ac:dyDescent="0.35">
      <c r="A295" s="106" t="str">
        <f>HYPERLINK("https://www.examplebusiness.com/resource-center/insurance/variable-universal-life-insurance","https://www.examplebusiness.com/resource-center/insurance/variable-universal-life-insurance")</f>
        <v>https://www.examplebusiness.com/resource-center/insurance/variable-universal-life-insurance</v>
      </c>
      <c r="B295" s="34">
        <v>4</v>
      </c>
      <c r="C295" s="34">
        <v>0</v>
      </c>
      <c r="D295" s="34">
        <v>0</v>
      </c>
      <c r="E295" s="34">
        <v>0</v>
      </c>
      <c r="F295" s="34">
        <v>200</v>
      </c>
      <c r="G295" s="34">
        <v>0</v>
      </c>
      <c r="H295" s="34"/>
      <c r="I295" s="34" t="s">
        <v>1561</v>
      </c>
      <c r="J295" s="34" t="s">
        <v>1561</v>
      </c>
      <c r="K295" s="107" t="s">
        <v>1561</v>
      </c>
      <c r="L295" s="34" t="s">
        <v>1561</v>
      </c>
    </row>
    <row r="296" spans="1:12" ht="16.5" x14ac:dyDescent="0.35">
      <c r="A296" s="106" t="str">
        <f>HYPERLINK("https://www.examplebusiness.com/resource-center/insurance/gun-ownership-and-your-homeowners-policy","https://www.examplebusiness.com/resource-center/insurance/gun-ownership-and-your-homeowners-policy")</f>
        <v>https://www.examplebusiness.com/resource-center/insurance/gun-ownership-and-your-homeowners-policy</v>
      </c>
      <c r="B296" s="34">
        <v>4</v>
      </c>
      <c r="C296" s="34">
        <v>0</v>
      </c>
      <c r="D296" s="34">
        <v>0</v>
      </c>
      <c r="E296" s="34">
        <v>0</v>
      </c>
      <c r="F296" s="34">
        <v>200</v>
      </c>
      <c r="G296" s="34">
        <v>0</v>
      </c>
      <c r="H296" s="34"/>
      <c r="I296" s="34" t="s">
        <v>1561</v>
      </c>
      <c r="J296" s="34" t="s">
        <v>1561</v>
      </c>
      <c r="K296" s="107" t="s">
        <v>1561</v>
      </c>
      <c r="L296" s="34" t="s">
        <v>1561</v>
      </c>
    </row>
    <row r="297" spans="1:12" ht="16.5" x14ac:dyDescent="0.35">
      <c r="A297" s="106" t="str">
        <f>HYPERLINK("https://www.examplebusiness.com/resource-center/insurance/qualifying-for-medicare-under-age-65","https://www.examplebusiness.com/resource-center/insurance/qualifying-for-medicare-under-age-65")</f>
        <v>https://www.examplebusiness.com/resource-center/insurance/qualifying-for-medicare-under-age-65</v>
      </c>
      <c r="B297" s="34">
        <v>4</v>
      </c>
      <c r="C297" s="34">
        <v>0</v>
      </c>
      <c r="D297" s="34">
        <v>0</v>
      </c>
      <c r="E297" s="34">
        <v>0</v>
      </c>
      <c r="F297" s="34">
        <v>200</v>
      </c>
      <c r="G297" s="34">
        <v>0</v>
      </c>
      <c r="H297" s="34"/>
      <c r="I297" s="34" t="s">
        <v>1561</v>
      </c>
      <c r="J297" s="34" t="s">
        <v>1561</v>
      </c>
      <c r="K297" s="107" t="s">
        <v>1561</v>
      </c>
      <c r="L297" s="34" t="s">
        <v>1561</v>
      </c>
    </row>
    <row r="298" spans="1:12" ht="16.5" x14ac:dyDescent="0.35">
      <c r="A298" s="106" t="str">
        <f>HYPERLINK("https://www.examplebusiness.com/resource-center/money/mortgages-in-retirement","https://www.examplebusiness.com/resource-center/money/mortgages-in-retirement")</f>
        <v>https://www.examplebusiness.com/resource-center/money/mortgages-in-retirement</v>
      </c>
      <c r="B298" s="34">
        <v>4</v>
      </c>
      <c r="C298" s="34">
        <v>0</v>
      </c>
      <c r="D298" s="34">
        <v>0</v>
      </c>
      <c r="E298" s="34">
        <v>0</v>
      </c>
      <c r="F298" s="34">
        <v>200</v>
      </c>
      <c r="G298" s="34">
        <v>0</v>
      </c>
      <c r="H298" s="34"/>
      <c r="I298" s="34" t="s">
        <v>1561</v>
      </c>
      <c r="J298" s="34" t="s">
        <v>1561</v>
      </c>
      <c r="K298" s="107" t="s">
        <v>1561</v>
      </c>
      <c r="L298" s="34" t="s">
        <v>1561</v>
      </c>
    </row>
    <row r="299" spans="1:12" ht="16.5" x14ac:dyDescent="0.35">
      <c r="A299" s="106" t="str">
        <f>HYPERLINK("https://www.examplebusiness.com/blog/tax-planning-for-income","https://www.examplebusiness.com/blog/tax-planning-for-income")</f>
        <v>https://www.examplebusiness.com/blog/tax-planning-for-income</v>
      </c>
      <c r="B299" s="34">
        <v>4</v>
      </c>
      <c r="C299" s="34">
        <v>0</v>
      </c>
      <c r="D299" s="34">
        <v>0</v>
      </c>
      <c r="E299" s="34">
        <v>0</v>
      </c>
      <c r="F299" s="34">
        <v>200</v>
      </c>
      <c r="G299" s="34">
        <v>0</v>
      </c>
      <c r="H299" s="34"/>
      <c r="I299" s="34">
        <v>0</v>
      </c>
      <c r="J299" s="34">
        <v>1</v>
      </c>
      <c r="K299" s="107">
        <v>0</v>
      </c>
      <c r="L299" s="34">
        <v>27</v>
      </c>
    </row>
    <row r="300" spans="1:12" ht="16.5" x14ac:dyDescent="0.35">
      <c r="A300" s="106" t="str">
        <f>HYPERLINK("https://www.examplebusiness.com/resource-center/insurance/medicare-vs-medicaid","https://www.examplebusiness.com/resource-center/insurance/medicare-vs-medicaid")</f>
        <v>https://www.examplebusiness.com/resource-center/insurance/medicare-vs-medicaid</v>
      </c>
      <c r="B300" s="34">
        <v>4</v>
      </c>
      <c r="C300" s="34">
        <v>0</v>
      </c>
      <c r="D300" s="34">
        <v>0</v>
      </c>
      <c r="E300" s="34">
        <v>0</v>
      </c>
      <c r="F300" s="34">
        <v>200</v>
      </c>
      <c r="G300" s="34">
        <v>1</v>
      </c>
      <c r="H300" s="34"/>
      <c r="I300" s="34" t="s">
        <v>1561</v>
      </c>
      <c r="J300" s="34" t="s">
        <v>1561</v>
      </c>
      <c r="K300" s="107" t="s">
        <v>1561</v>
      </c>
      <c r="L300" s="34" t="s">
        <v>1561</v>
      </c>
    </row>
    <row r="301" spans="1:12" ht="16.5" x14ac:dyDescent="0.35">
      <c r="A301" s="106" t="str">
        <f>HYPERLINK("https://www.examplebusiness.com/resource-center/insurance/buying-auto-insurance-for-teen-drivers","https://www.examplebusiness.com/resource-center/insurance/buying-auto-insurance-for-teen-drivers")</f>
        <v>https://www.examplebusiness.com/resource-center/insurance/buying-auto-insurance-for-teen-drivers</v>
      </c>
      <c r="B301" s="34">
        <v>4</v>
      </c>
      <c r="C301" s="34">
        <v>0</v>
      </c>
      <c r="D301" s="34">
        <v>0</v>
      </c>
      <c r="E301" s="34">
        <v>0</v>
      </c>
      <c r="F301" s="34">
        <v>200</v>
      </c>
      <c r="G301" s="34">
        <v>0</v>
      </c>
      <c r="H301" s="34"/>
      <c r="I301" s="34" t="s">
        <v>1561</v>
      </c>
      <c r="J301" s="34" t="s">
        <v>1561</v>
      </c>
      <c r="K301" s="107" t="s">
        <v>1561</v>
      </c>
      <c r="L301" s="34" t="s">
        <v>1561</v>
      </c>
    </row>
    <row r="302" spans="1:12" ht="16.5" x14ac:dyDescent="0.35">
      <c r="A302" s="106" t="str">
        <f>HYPERLINK("https://www.examplebusiness.com/resource-center/lifestyle/raising-healthy-children","https://www.examplebusiness.com/resource-center/lifestyle/raising-healthy-children")</f>
        <v>https://www.examplebusiness.com/resource-center/lifestyle/raising-healthy-children</v>
      </c>
      <c r="B302" s="34">
        <v>4</v>
      </c>
      <c r="C302" s="34">
        <v>0</v>
      </c>
      <c r="D302" s="34">
        <v>0</v>
      </c>
      <c r="E302" s="34">
        <v>0</v>
      </c>
      <c r="F302" s="34">
        <v>200</v>
      </c>
      <c r="G302" s="34">
        <v>0</v>
      </c>
      <c r="H302" s="34"/>
      <c r="I302" s="34" t="s">
        <v>1561</v>
      </c>
      <c r="J302" s="34" t="s">
        <v>1561</v>
      </c>
      <c r="K302" s="107" t="s">
        <v>1561</v>
      </c>
      <c r="L302" s="34" t="s">
        <v>1561</v>
      </c>
    </row>
    <row r="303" spans="1:12" ht="16.5" x14ac:dyDescent="0.35">
      <c r="A303" s="106" t="str">
        <f>HYPERLINK("https://www.examplebusiness.com/resource-center/tax/what-do-your-taxes-pay-for","https://www.examplebusiness.com/resource-center/tax/what-do-your-taxes-pay-for")</f>
        <v>https://www.examplebusiness.com/resource-center/tax/what-do-your-taxes-pay-for</v>
      </c>
      <c r="B303" s="34">
        <v>4</v>
      </c>
      <c r="C303" s="34">
        <v>0</v>
      </c>
      <c r="D303" s="34">
        <v>0</v>
      </c>
      <c r="E303" s="34">
        <v>0</v>
      </c>
      <c r="F303" s="34">
        <v>200</v>
      </c>
      <c r="G303" s="34">
        <v>0</v>
      </c>
      <c r="H303" s="34"/>
      <c r="I303" s="34" t="s">
        <v>1561</v>
      </c>
      <c r="J303" s="34" t="s">
        <v>1561</v>
      </c>
      <c r="K303" s="107" t="s">
        <v>1561</v>
      </c>
      <c r="L303" s="34" t="s">
        <v>1561</v>
      </c>
    </row>
    <row r="304" spans="1:12" ht="16.5" x14ac:dyDescent="0.35">
      <c r="A304" s="106" t="str">
        <f>HYPERLINK("https://www.examplebusiness.com/blog/teaching-money-mindfulness-to-your-children","https://www.examplebusiness.com/blog/teaching-money-mindfulness-to-your-children")</f>
        <v>https://www.examplebusiness.com/blog/teaching-money-mindfulness-to-your-children</v>
      </c>
      <c r="B304" s="34">
        <v>4</v>
      </c>
      <c r="C304" s="34">
        <v>0</v>
      </c>
      <c r="D304" s="34">
        <v>0</v>
      </c>
      <c r="E304" s="34">
        <v>0</v>
      </c>
      <c r="F304" s="34">
        <v>200</v>
      </c>
      <c r="G304" s="34">
        <v>0</v>
      </c>
      <c r="H304" s="34"/>
      <c r="I304" s="34">
        <v>0</v>
      </c>
      <c r="J304" s="34">
        <v>19</v>
      </c>
      <c r="K304" s="107">
        <v>0</v>
      </c>
      <c r="L304" s="34">
        <v>26.84</v>
      </c>
    </row>
    <row r="305" spans="1:12" ht="16.5" x14ac:dyDescent="0.35">
      <c r="A305" s="106" t="str">
        <f>HYPERLINK("https://www.examplebusiness.com/blog/mid-term-market-volatility","https://www.examplebusiness.com/blog/mid-term-market-volatility")</f>
        <v>https://www.examplebusiness.com/blog/mid-term-market-volatility</v>
      </c>
      <c r="B305" s="34">
        <v>4</v>
      </c>
      <c r="C305" s="34">
        <v>0</v>
      </c>
      <c r="D305" s="34">
        <v>0</v>
      </c>
      <c r="E305" s="34">
        <v>0</v>
      </c>
      <c r="F305" s="34">
        <v>200</v>
      </c>
      <c r="G305" s="34">
        <v>0</v>
      </c>
      <c r="H305" s="34"/>
      <c r="I305" s="34">
        <v>0</v>
      </c>
      <c r="J305" s="34">
        <v>2</v>
      </c>
      <c r="K305" s="107">
        <v>0</v>
      </c>
      <c r="L305" s="34">
        <v>97</v>
      </c>
    </row>
    <row r="306" spans="1:12" ht="16.5" x14ac:dyDescent="0.35">
      <c r="A306" s="106" t="str">
        <f>HYPERLINK("https://www.examplebusiness.com/resource-center/investment/impact-of-taxes-and-inflation","https://www.examplebusiness.com/resource-center/investment/impact-of-taxes-and-inflation")</f>
        <v>https://www.examplebusiness.com/resource-center/investment/impact-of-taxes-and-inflation</v>
      </c>
      <c r="B306" s="34">
        <v>4</v>
      </c>
      <c r="C306" s="34">
        <v>0</v>
      </c>
      <c r="D306" s="34">
        <v>0</v>
      </c>
      <c r="E306" s="34">
        <v>0</v>
      </c>
      <c r="F306" s="34">
        <v>200</v>
      </c>
      <c r="G306" s="34">
        <v>0</v>
      </c>
      <c r="H306" s="34"/>
      <c r="I306" s="34" t="s">
        <v>1561</v>
      </c>
      <c r="J306" s="34" t="s">
        <v>1561</v>
      </c>
      <c r="K306" s="107" t="s">
        <v>1561</v>
      </c>
      <c r="L306" s="34" t="s">
        <v>1561</v>
      </c>
    </row>
    <row r="307" spans="1:12" ht="16.5" x14ac:dyDescent="0.35">
      <c r="A307" s="106" t="str">
        <f>HYPERLINK("https://www.examplebusiness.com/resource-center/insurance/the-abcs-of-auto-insurance","https://www.examplebusiness.com/resource-center/insurance/the-abcs-of-auto-insurance")</f>
        <v>https://www.examplebusiness.com/resource-center/insurance/the-abcs-of-auto-insurance</v>
      </c>
      <c r="B307" s="34">
        <v>4</v>
      </c>
      <c r="C307" s="34">
        <v>0</v>
      </c>
      <c r="D307" s="34">
        <v>0</v>
      </c>
      <c r="E307" s="34">
        <v>0</v>
      </c>
      <c r="F307" s="34">
        <v>200</v>
      </c>
      <c r="G307" s="34">
        <v>0</v>
      </c>
      <c r="H307" s="34"/>
      <c r="I307" s="34" t="s">
        <v>1561</v>
      </c>
      <c r="J307" s="34" t="s">
        <v>1561</v>
      </c>
      <c r="K307" s="107" t="s">
        <v>1561</v>
      </c>
      <c r="L307" s="34" t="s">
        <v>1561</v>
      </c>
    </row>
    <row r="308" spans="1:12" ht="16.5" x14ac:dyDescent="0.35">
      <c r="A308" s="106" t="str">
        <f>HYPERLINK("https://www.examplebusiness.com/resource-center/estate/problems-with-probate","https://www.examplebusiness.com/resource-center/estate/problems-with-probate")</f>
        <v>https://www.examplebusiness.com/resource-center/estate/problems-with-probate</v>
      </c>
      <c r="B308" s="34">
        <v>4</v>
      </c>
      <c r="C308" s="34">
        <v>0</v>
      </c>
      <c r="D308" s="34">
        <v>0</v>
      </c>
      <c r="E308" s="34">
        <v>0</v>
      </c>
      <c r="F308" s="34">
        <v>200</v>
      </c>
      <c r="G308" s="34">
        <v>0</v>
      </c>
      <c r="H308" s="34"/>
      <c r="I308" s="34" t="s">
        <v>1561</v>
      </c>
      <c r="J308" s="34" t="s">
        <v>1561</v>
      </c>
      <c r="K308" s="107" t="s">
        <v>1561</v>
      </c>
      <c r="L308" s="34" t="s">
        <v>1561</v>
      </c>
    </row>
    <row r="309" spans="1:12" ht="16.5" x14ac:dyDescent="0.35">
      <c r="A309" s="106" t="str">
        <f>HYPERLINK("https://www.examplebusiness.com/resource-center/insurance/the-a-b-c-d-of-medicare","https://www.examplebusiness.com/resource-center/insurance/the-a-b-c-d-of-medicare")</f>
        <v>https://www.examplebusiness.com/resource-center/insurance/the-a-b-c-d-of-medicare</v>
      </c>
      <c r="B309" s="34">
        <v>4</v>
      </c>
      <c r="C309" s="34">
        <v>0</v>
      </c>
      <c r="D309" s="34">
        <v>0</v>
      </c>
      <c r="E309" s="34">
        <v>0</v>
      </c>
      <c r="F309" s="34">
        <v>200</v>
      </c>
      <c r="G309" s="34">
        <v>0</v>
      </c>
      <c r="H309" s="34"/>
      <c r="I309" s="34" t="s">
        <v>1561</v>
      </c>
      <c r="J309" s="34" t="s">
        <v>1561</v>
      </c>
      <c r="K309" s="107" t="s">
        <v>1561</v>
      </c>
      <c r="L309" s="34" t="s">
        <v>1561</v>
      </c>
    </row>
    <row r="310" spans="1:12" ht="16.5" x14ac:dyDescent="0.35">
      <c r="A310" s="106" t="str">
        <f>HYPERLINK("https://www.examplebusiness.com/resource-center/insurance/medicare-advantage-101","https://www.examplebusiness.com/resource-center/insurance/medicare-advantage-101")</f>
        <v>https://www.examplebusiness.com/resource-center/insurance/medicare-advantage-101</v>
      </c>
      <c r="B310" s="34">
        <v>4</v>
      </c>
      <c r="C310" s="34">
        <v>0</v>
      </c>
      <c r="D310" s="34">
        <v>0</v>
      </c>
      <c r="E310" s="34">
        <v>0</v>
      </c>
      <c r="F310" s="34">
        <v>200</v>
      </c>
      <c r="G310" s="34">
        <v>0</v>
      </c>
      <c r="H310" s="34"/>
      <c r="I310" s="34" t="s">
        <v>1561</v>
      </c>
      <c r="J310" s="34" t="s">
        <v>1561</v>
      </c>
      <c r="K310" s="107" t="s">
        <v>1561</v>
      </c>
      <c r="L310" s="34" t="s">
        <v>1561</v>
      </c>
    </row>
    <row r="311" spans="1:12" ht="16.5" x14ac:dyDescent="0.35">
      <c r="A311" s="106" t="str">
        <f>HYPERLINK("https://www.examplebusiness.com/resource-center/retirement/is-a-variable-annuity-right-for-me","https://www.examplebusiness.com/resource-center/retirement/is-a-variable-annuity-right-for-me")</f>
        <v>https://www.examplebusiness.com/resource-center/retirement/is-a-variable-annuity-right-for-me</v>
      </c>
      <c r="B311" s="34">
        <v>4</v>
      </c>
      <c r="C311" s="34">
        <v>0</v>
      </c>
      <c r="D311" s="34">
        <v>0</v>
      </c>
      <c r="E311" s="34">
        <v>0</v>
      </c>
      <c r="F311" s="34">
        <v>200</v>
      </c>
      <c r="G311" s="34">
        <v>0</v>
      </c>
      <c r="H311" s="34"/>
      <c r="I311" s="34" t="s">
        <v>1561</v>
      </c>
      <c r="J311" s="34" t="s">
        <v>1561</v>
      </c>
      <c r="K311" s="107" t="s">
        <v>1561</v>
      </c>
      <c r="L311" s="34" t="s">
        <v>1561</v>
      </c>
    </row>
    <row r="312" spans="1:12" ht="16.5" x14ac:dyDescent="0.35">
      <c r="A312" s="106" t="str">
        <f>HYPERLINK("https://www.examplebusiness.com/resource-center/lifestyle/good-health-is-good-business","https://www.examplebusiness.com/resource-center/lifestyle/good-health-is-good-business")</f>
        <v>https://www.examplebusiness.com/resource-center/lifestyle/good-health-is-good-business</v>
      </c>
      <c r="B312" s="34">
        <v>4</v>
      </c>
      <c r="C312" s="34">
        <v>0</v>
      </c>
      <c r="D312" s="34">
        <v>0</v>
      </c>
      <c r="E312" s="34">
        <v>0</v>
      </c>
      <c r="F312" s="34">
        <v>200</v>
      </c>
      <c r="G312" s="34">
        <v>0</v>
      </c>
      <c r="H312" s="34"/>
      <c r="I312" s="34">
        <v>0</v>
      </c>
      <c r="J312" s="34">
        <v>1</v>
      </c>
      <c r="K312" s="107">
        <v>0</v>
      </c>
      <c r="L312" s="34">
        <v>13</v>
      </c>
    </row>
    <row r="313" spans="1:12" ht="16.5" x14ac:dyDescent="0.35">
      <c r="A313" s="106" t="str">
        <f>HYPERLINK("https://www.examplebusiness.com/resource-center/retirement/roth-401k-vs-traditional-401k","https://www.examplebusiness.com/resource-center/retirement/roth-401k-vs-traditional-401k")</f>
        <v>https://www.examplebusiness.com/resource-center/retirement/roth-401k-vs-traditional-401k</v>
      </c>
      <c r="B313" s="34">
        <v>4</v>
      </c>
      <c r="C313" s="34">
        <v>0</v>
      </c>
      <c r="D313" s="34">
        <v>0</v>
      </c>
      <c r="E313" s="34">
        <v>0</v>
      </c>
      <c r="F313" s="34">
        <v>200</v>
      </c>
      <c r="G313" s="34">
        <v>0</v>
      </c>
      <c r="H313" s="34"/>
      <c r="I313" s="34" t="s">
        <v>1561</v>
      </c>
      <c r="J313" s="34" t="s">
        <v>1561</v>
      </c>
      <c r="K313" s="107" t="s">
        <v>1561</v>
      </c>
      <c r="L313" s="34" t="s">
        <v>1561</v>
      </c>
    </row>
    <row r="314" spans="1:12" ht="16.5" x14ac:dyDescent="0.35">
      <c r="A314" s="106" t="str">
        <f>HYPERLINK("https://www.examplebusiness.com/resource-center/lifestyle/travel-without-the-baggage","https://www.examplebusiness.com/resource-center/lifestyle/travel-without-the-baggage")</f>
        <v>https://www.examplebusiness.com/resource-center/lifestyle/travel-without-the-baggage</v>
      </c>
      <c r="B314" s="34">
        <v>4</v>
      </c>
      <c r="C314" s="34">
        <v>0</v>
      </c>
      <c r="D314" s="34">
        <v>0</v>
      </c>
      <c r="E314" s="34">
        <v>0</v>
      </c>
      <c r="F314" s="34">
        <v>200</v>
      </c>
      <c r="G314" s="34">
        <v>0</v>
      </c>
      <c r="H314" s="34"/>
      <c r="I314" s="34">
        <v>0</v>
      </c>
      <c r="J314" s="34">
        <v>1</v>
      </c>
      <c r="K314" s="107">
        <v>0</v>
      </c>
      <c r="L314" s="34">
        <v>9</v>
      </c>
    </row>
    <row r="315" spans="1:12" ht="16.5" x14ac:dyDescent="0.35">
      <c r="A315" s="106" t="str">
        <f>HYPERLINK("https://www.examplebusiness.com/join-us-new","https://www.examplebusiness.com/join-us-new")</f>
        <v>https://www.examplebusiness.com/join-us-new</v>
      </c>
      <c r="B315" s="34">
        <v>4</v>
      </c>
      <c r="C315" s="34">
        <v>0</v>
      </c>
      <c r="D315" s="34">
        <v>0</v>
      </c>
      <c r="E315" s="34">
        <v>0</v>
      </c>
      <c r="F315" s="34">
        <v>302</v>
      </c>
      <c r="G315" s="34">
        <v>0</v>
      </c>
      <c r="H315" s="34"/>
      <c r="I315" s="34" t="s">
        <v>1561</v>
      </c>
      <c r="J315" s="34" t="s">
        <v>1561</v>
      </c>
      <c r="K315" s="107" t="s">
        <v>1561</v>
      </c>
      <c r="L315" s="34" t="s">
        <v>1561</v>
      </c>
    </row>
    <row r="316" spans="1:12" ht="16.5" x14ac:dyDescent="0.35">
      <c r="A316" s="106" t="str">
        <f>HYPERLINK("https://www.examplebusiness.com/resource-center/investment/value-vs-growth-investing","https://www.examplebusiness.com/resource-center/investment/value-vs-growth-investing")</f>
        <v>https://www.examplebusiness.com/resource-center/investment/value-vs-growth-investing</v>
      </c>
      <c r="B316" s="34">
        <v>4</v>
      </c>
      <c r="C316" s="34">
        <v>0</v>
      </c>
      <c r="D316" s="34">
        <v>0</v>
      </c>
      <c r="E316" s="34">
        <v>0</v>
      </c>
      <c r="F316" s="34">
        <v>200</v>
      </c>
      <c r="G316" s="34">
        <v>0</v>
      </c>
      <c r="H316" s="34"/>
      <c r="I316" s="34" t="s">
        <v>1561</v>
      </c>
      <c r="J316" s="34" t="s">
        <v>1561</v>
      </c>
      <c r="K316" s="107" t="s">
        <v>1561</v>
      </c>
      <c r="L316" s="34" t="s">
        <v>1561</v>
      </c>
    </row>
    <row r="317" spans="1:12" ht="16.5" x14ac:dyDescent="0.35">
      <c r="A317" s="106" t="str">
        <f>HYPERLINK("https://www.examplebusiness.com/resource-center/money/your-emergency-fund-how-much-is-enough","https://www.examplebusiness.com/resource-center/money/your-emergency-fund-how-much-is-enough")</f>
        <v>https://www.examplebusiness.com/resource-center/money/your-emergency-fund-how-much-is-enough</v>
      </c>
      <c r="B317" s="34">
        <v>4</v>
      </c>
      <c r="C317" s="34">
        <v>0</v>
      </c>
      <c r="D317" s="34">
        <v>0</v>
      </c>
      <c r="E317" s="34">
        <v>0</v>
      </c>
      <c r="F317" s="34">
        <v>200</v>
      </c>
      <c r="G317" s="34">
        <v>0</v>
      </c>
      <c r="H317" s="34"/>
      <c r="I317" s="34" t="s">
        <v>1561</v>
      </c>
      <c r="J317" s="34" t="s">
        <v>1561</v>
      </c>
      <c r="K317" s="107" t="s">
        <v>1561</v>
      </c>
      <c r="L317" s="34" t="s">
        <v>1561</v>
      </c>
    </row>
    <row r="318" spans="1:12" ht="16.5" x14ac:dyDescent="0.35">
      <c r="A318" s="106" t="str">
        <f>HYPERLINK("https://www.examplebusiness.com/resource-center/estate/tips-for-finding-care-for-your-special-needs-child","https://www.examplebusiness.com/resource-center/estate/tips-for-finding-care-for-your-special-needs-child")</f>
        <v>https://www.examplebusiness.com/resource-center/estate/tips-for-finding-care-for-your-special-needs-child</v>
      </c>
      <c r="B318" s="34">
        <v>4</v>
      </c>
      <c r="C318" s="34">
        <v>0</v>
      </c>
      <c r="D318" s="34">
        <v>0</v>
      </c>
      <c r="E318" s="34">
        <v>0</v>
      </c>
      <c r="F318" s="34">
        <v>200</v>
      </c>
      <c r="G318" s="34">
        <v>0</v>
      </c>
      <c r="H318" s="34"/>
      <c r="I318" s="34" t="s">
        <v>1561</v>
      </c>
      <c r="J318" s="34" t="s">
        <v>1561</v>
      </c>
      <c r="K318" s="107" t="s">
        <v>1561</v>
      </c>
      <c r="L318" s="34" t="s">
        <v>1561</v>
      </c>
    </row>
    <row r="319" spans="1:12" ht="16.5" x14ac:dyDescent="0.35">
      <c r="A319" s="106" t="str">
        <f>HYPERLINK("https://www.examplebusiness.com/resource-center/money/the-lowdown-on-those-free-credit-scores","https://www.examplebusiness.com/resource-center/money/the-lowdown-on-those-free-credit-scores")</f>
        <v>https://www.examplebusiness.com/resource-center/money/the-lowdown-on-those-free-credit-scores</v>
      </c>
      <c r="B319" s="34">
        <v>4</v>
      </c>
      <c r="C319" s="34">
        <v>0</v>
      </c>
      <c r="D319" s="34">
        <v>0</v>
      </c>
      <c r="E319" s="34">
        <v>0</v>
      </c>
      <c r="F319" s="34">
        <v>200</v>
      </c>
      <c r="G319" s="34">
        <v>0</v>
      </c>
      <c r="H319" s="34"/>
      <c r="I319" s="34">
        <v>0</v>
      </c>
      <c r="J319" s="34">
        <v>2</v>
      </c>
      <c r="K319" s="107">
        <v>0</v>
      </c>
      <c r="L319" s="34">
        <v>11.5</v>
      </c>
    </row>
    <row r="320" spans="1:12" ht="16.5" x14ac:dyDescent="0.35">
      <c r="A320" s="106" t="str">
        <f>HYPERLINK("https://www.examplebusiness.com/blog/5-steps-to-take-before-youre-65","https://www.examplebusiness.com/blog/5-steps-to-take-before-youre-65")</f>
        <v>https://www.examplebusiness.com/blog/5-steps-to-take-before-youre-65</v>
      </c>
      <c r="B320" s="34">
        <v>4</v>
      </c>
      <c r="C320" s="34">
        <v>0</v>
      </c>
      <c r="D320" s="34">
        <v>0</v>
      </c>
      <c r="E320" s="34">
        <v>0</v>
      </c>
      <c r="F320" s="34">
        <v>200</v>
      </c>
      <c r="G320" s="34">
        <v>0</v>
      </c>
      <c r="H320" s="34"/>
      <c r="I320" s="34" t="s">
        <v>1561</v>
      </c>
      <c r="J320" s="34" t="s">
        <v>1561</v>
      </c>
      <c r="K320" s="107" t="s">
        <v>1561</v>
      </c>
      <c r="L320" s="34" t="s">
        <v>1561</v>
      </c>
    </row>
    <row r="321" spans="1:12" ht="16.5" x14ac:dyDescent="0.35">
      <c r="A321" s="106" t="str">
        <f>HYPERLINK("https://www.examplebusiness.com/blog/new-years-resolutions-to-get-your-finances-in-order","https://www.examplebusiness.com/blog/new-years-resolutions-to-get-your-finances-in-order")</f>
        <v>https://www.examplebusiness.com/blog/new-years-resolutions-to-get-your-finances-in-order</v>
      </c>
      <c r="B321" s="34">
        <v>4</v>
      </c>
      <c r="C321" s="34">
        <v>0</v>
      </c>
      <c r="D321" s="34">
        <v>0</v>
      </c>
      <c r="E321" s="34">
        <v>0</v>
      </c>
      <c r="F321" s="34">
        <v>200</v>
      </c>
      <c r="G321" s="34">
        <v>0</v>
      </c>
      <c r="H321" s="34"/>
      <c r="I321" s="34" t="s">
        <v>1561</v>
      </c>
      <c r="J321" s="34" t="s">
        <v>1561</v>
      </c>
      <c r="K321" s="107" t="s">
        <v>1561</v>
      </c>
      <c r="L321" s="34" t="s">
        <v>1561</v>
      </c>
    </row>
    <row r="322" spans="1:12" ht="16.5" x14ac:dyDescent="0.35">
      <c r="A322" s="106" t="str">
        <f>HYPERLINK("https://www.examplebusiness.com/resource-center/estate/a-primer-on-irrevocable-life-insurance-trusts","https://www.examplebusiness.com/resource-center/estate/a-primer-on-irrevocable-life-insurance-trusts")</f>
        <v>https://www.examplebusiness.com/resource-center/estate/a-primer-on-irrevocable-life-insurance-trusts</v>
      </c>
      <c r="B322" s="34">
        <v>4</v>
      </c>
      <c r="C322" s="34">
        <v>0</v>
      </c>
      <c r="D322" s="34">
        <v>0</v>
      </c>
      <c r="E322" s="34">
        <v>0</v>
      </c>
      <c r="F322" s="34">
        <v>200</v>
      </c>
      <c r="G322" s="34">
        <v>0</v>
      </c>
      <c r="H322" s="34"/>
      <c r="I322" s="34" t="s">
        <v>1561</v>
      </c>
      <c r="J322" s="34" t="s">
        <v>1561</v>
      </c>
      <c r="K322" s="107" t="s">
        <v>1561</v>
      </c>
      <c r="L322" s="34" t="s">
        <v>1561</v>
      </c>
    </row>
    <row r="323" spans="1:12" ht="16.5" x14ac:dyDescent="0.35">
      <c r="A323" s="106" t="str">
        <f>HYPERLINK("https://www.examplebusiness.com/resource-center/retirement/should-you-borrow-from-your-401k","https://www.examplebusiness.com/resource-center/retirement/should-you-borrow-from-your-401k")</f>
        <v>https://www.examplebusiness.com/resource-center/retirement/should-you-borrow-from-your-401k</v>
      </c>
      <c r="B323" s="34">
        <v>4</v>
      </c>
      <c r="C323" s="34">
        <v>0</v>
      </c>
      <c r="D323" s="34">
        <v>0</v>
      </c>
      <c r="E323" s="34">
        <v>0</v>
      </c>
      <c r="F323" s="34">
        <v>200</v>
      </c>
      <c r="G323" s="34">
        <v>0</v>
      </c>
      <c r="H323" s="34"/>
      <c r="I323" s="34" t="s">
        <v>1561</v>
      </c>
      <c r="J323" s="34" t="s">
        <v>1561</v>
      </c>
      <c r="K323" s="107" t="s">
        <v>1561</v>
      </c>
      <c r="L323" s="34" t="s">
        <v>1561</v>
      </c>
    </row>
    <row r="324" spans="1:12" ht="16.5" x14ac:dyDescent="0.35">
      <c r="A324" s="106" t="str">
        <f>HYPERLINK("https://www.examplebusiness.com/blog/dirty-dozen-retirement-planning-mistakes","https://www.examplebusiness.com/blog/dirty-dozen-retirement-planning-mistakes")</f>
        <v>https://www.examplebusiness.com/blog/dirty-dozen-retirement-planning-mistakes</v>
      </c>
      <c r="B324" s="34">
        <v>4</v>
      </c>
      <c r="C324" s="34">
        <v>0</v>
      </c>
      <c r="D324" s="34">
        <v>0</v>
      </c>
      <c r="E324" s="34">
        <v>0</v>
      </c>
      <c r="F324" s="34">
        <v>200</v>
      </c>
      <c r="G324" s="34">
        <v>0</v>
      </c>
      <c r="H324" s="34"/>
      <c r="I324" s="34">
        <v>0</v>
      </c>
      <c r="J324" s="34">
        <v>1</v>
      </c>
      <c r="K324" s="107">
        <v>0</v>
      </c>
      <c r="L324" s="34">
        <v>10</v>
      </c>
    </row>
    <row r="325" spans="1:12" ht="16.5" x14ac:dyDescent="0.35">
      <c r="A325" s="106" t="str">
        <f>HYPERLINK("https://www.examplebusiness.com/resource-center/retirement/9-facts-about-social-security","https://www.examplebusiness.com/resource-center/retirement/9-facts-about-social-security")</f>
        <v>https://www.examplebusiness.com/resource-center/retirement/9-facts-about-social-security</v>
      </c>
      <c r="B325" s="34">
        <v>4</v>
      </c>
      <c r="C325" s="34">
        <v>0</v>
      </c>
      <c r="D325" s="34">
        <v>0</v>
      </c>
      <c r="E325" s="34">
        <v>0</v>
      </c>
      <c r="F325" s="34">
        <v>200</v>
      </c>
      <c r="G325" s="34">
        <v>0</v>
      </c>
      <c r="H325" s="34"/>
      <c r="I325" s="34" t="s">
        <v>1561</v>
      </c>
      <c r="J325" s="34" t="s">
        <v>1561</v>
      </c>
      <c r="K325" s="107" t="s">
        <v>1561</v>
      </c>
      <c r="L325" s="34" t="s">
        <v>1561</v>
      </c>
    </row>
    <row r="326" spans="1:12" ht="16.5" x14ac:dyDescent="0.35">
      <c r="A326" s="106" t="str">
        <f>HYPERLINK("https://www.examplebusiness.com/resource-center/money/how-does-your-credit-score-compare","https://www.examplebusiness.com/resource-center/money/how-does-your-credit-score-compare")</f>
        <v>https://www.examplebusiness.com/resource-center/money/how-does-your-credit-score-compare</v>
      </c>
      <c r="B326" s="34">
        <v>4</v>
      </c>
      <c r="C326" s="34">
        <v>0</v>
      </c>
      <c r="D326" s="34">
        <v>0</v>
      </c>
      <c r="E326" s="34">
        <v>0</v>
      </c>
      <c r="F326" s="34">
        <v>200</v>
      </c>
      <c r="G326" s="34">
        <v>0</v>
      </c>
      <c r="H326" s="34"/>
      <c r="I326" s="34" t="s">
        <v>1561</v>
      </c>
      <c r="J326" s="34" t="s">
        <v>1561</v>
      </c>
      <c r="K326" s="107" t="s">
        <v>1561</v>
      </c>
      <c r="L326" s="34" t="s">
        <v>1561</v>
      </c>
    </row>
    <row r="327" spans="1:12" ht="16.5" x14ac:dyDescent="0.35">
      <c r="A327" s="106" t="str">
        <f>HYPERLINK("https://www.examplebusiness.com/resource-center/lifestyle/consider-these-three-things-before-driving-off-the-lot","https://www.examplebusiness.com/resource-center/lifestyle/consider-these-three-things-before-driving-off-the-lot")</f>
        <v>https://www.examplebusiness.com/resource-center/lifestyle/consider-these-three-things-before-driving-off-the-lot</v>
      </c>
      <c r="B327" s="34">
        <v>4</v>
      </c>
      <c r="C327" s="34">
        <v>0</v>
      </c>
      <c r="D327" s="34">
        <v>0</v>
      </c>
      <c r="E327" s="34">
        <v>0</v>
      </c>
      <c r="F327" s="34">
        <v>200</v>
      </c>
      <c r="G327" s="34">
        <v>0</v>
      </c>
      <c r="H327" s="34"/>
      <c r="I327" s="34" t="s">
        <v>1561</v>
      </c>
      <c r="J327" s="34" t="s">
        <v>1561</v>
      </c>
      <c r="K327" s="107" t="s">
        <v>1561</v>
      </c>
      <c r="L327" s="34" t="s">
        <v>1561</v>
      </c>
    </row>
    <row r="328" spans="1:12" ht="16.5" x14ac:dyDescent="0.35">
      <c r="A328" s="106" t="str">
        <f>HYPERLINK("https://www.examplebusiness.com/resource-center/estate/when-do-you-need-a-will","https://www.examplebusiness.com/resource-center/estate/when-do-you-need-a-will")</f>
        <v>https://www.examplebusiness.com/resource-center/estate/when-do-you-need-a-will</v>
      </c>
      <c r="B328" s="34">
        <v>4</v>
      </c>
      <c r="C328" s="34">
        <v>0</v>
      </c>
      <c r="D328" s="34">
        <v>0</v>
      </c>
      <c r="E328" s="34">
        <v>0</v>
      </c>
      <c r="F328" s="34">
        <v>200</v>
      </c>
      <c r="G328" s="34">
        <v>0</v>
      </c>
      <c r="H328" s="34"/>
      <c r="I328" s="34" t="s">
        <v>1561</v>
      </c>
      <c r="J328" s="34" t="s">
        <v>1561</v>
      </c>
      <c r="K328" s="107" t="s">
        <v>1561</v>
      </c>
      <c r="L328" s="34" t="s">
        <v>1561</v>
      </c>
    </row>
    <row r="329" spans="1:12" ht="16.5" x14ac:dyDescent="0.35">
      <c r="A329" s="106" t="str">
        <f>HYPERLINK("https://www.examplebusiness.com/blog/socially-responsible-investing","https://www.examplebusiness.com/blog/socially-responsible-investing")</f>
        <v>https://www.examplebusiness.com/blog/socially-responsible-investing</v>
      </c>
      <c r="B329" s="34">
        <v>4</v>
      </c>
      <c r="C329" s="34">
        <v>0</v>
      </c>
      <c r="D329" s="34">
        <v>0</v>
      </c>
      <c r="E329" s="34">
        <v>0</v>
      </c>
      <c r="F329" s="34">
        <v>200</v>
      </c>
      <c r="G329" s="34">
        <v>0</v>
      </c>
      <c r="H329" s="34"/>
      <c r="I329" s="34">
        <v>1</v>
      </c>
      <c r="J329" s="34">
        <v>79</v>
      </c>
      <c r="K329" s="107">
        <v>1.2699999999999999E-2</v>
      </c>
      <c r="L329" s="34">
        <v>80.010000000000005</v>
      </c>
    </row>
    <row r="330" spans="1:12" ht="16.5" x14ac:dyDescent="0.35">
      <c r="A330" s="106" t="str">
        <f>HYPERLINK("https://www.examplebusiness.com/resource-center/retirement/deciding-on-social-security","https://www.examplebusiness.com/resource-center/retirement/deciding-on-social-security")</f>
        <v>https://www.examplebusiness.com/resource-center/retirement/deciding-on-social-security</v>
      </c>
      <c r="B330" s="34">
        <v>4</v>
      </c>
      <c r="C330" s="34">
        <v>0</v>
      </c>
      <c r="D330" s="34">
        <v>0</v>
      </c>
      <c r="E330" s="34">
        <v>0</v>
      </c>
      <c r="F330" s="34">
        <v>200</v>
      </c>
      <c r="G330" s="34">
        <v>0</v>
      </c>
      <c r="H330" s="34"/>
      <c r="I330" s="34" t="s">
        <v>1561</v>
      </c>
      <c r="J330" s="34" t="s">
        <v>1561</v>
      </c>
      <c r="K330" s="107" t="s">
        <v>1561</v>
      </c>
      <c r="L330" s="34" t="s">
        <v>1561</v>
      </c>
    </row>
    <row r="331" spans="1:12" ht="16.5" x14ac:dyDescent="0.35">
      <c r="A331" s="106" t="str">
        <f>HYPERLINK("https://www.examplebusiness.com/resource-center/retirement/9-facts-about-retirement","https://www.examplebusiness.com/resource-center/retirement/9-facts-about-retirement")</f>
        <v>https://www.examplebusiness.com/resource-center/retirement/9-facts-about-retirement</v>
      </c>
      <c r="B331" s="34">
        <v>4</v>
      </c>
      <c r="C331" s="34">
        <v>0</v>
      </c>
      <c r="D331" s="34">
        <v>0</v>
      </c>
      <c r="E331" s="34">
        <v>0</v>
      </c>
      <c r="F331" s="34">
        <v>200</v>
      </c>
      <c r="G331" s="34">
        <v>0</v>
      </c>
      <c r="H331" s="34"/>
      <c r="I331" s="34" t="s">
        <v>1561</v>
      </c>
      <c r="J331" s="34" t="s">
        <v>1561</v>
      </c>
      <c r="K331" s="107" t="s">
        <v>1561</v>
      </c>
      <c r="L331" s="34" t="s">
        <v>1561</v>
      </c>
    </row>
    <row r="332" spans="1:12" ht="16.5" x14ac:dyDescent="0.35">
      <c r="A332" s="106" t="str">
        <f>HYPERLINK("https://www.examplebusiness.com/resource-center/insurance/medicare-advantage-plans-medicare-part-c","https://www.examplebusiness.com/resource-center/insurance/medicare-advantage-plans-medicare-part-c")</f>
        <v>https://www.examplebusiness.com/resource-center/insurance/medicare-advantage-plans-medicare-part-c</v>
      </c>
      <c r="B332" s="34">
        <v>4</v>
      </c>
      <c r="C332" s="34">
        <v>1</v>
      </c>
      <c r="D332" s="34">
        <v>0</v>
      </c>
      <c r="E332" s="34">
        <v>1</v>
      </c>
      <c r="F332" s="34">
        <v>200</v>
      </c>
      <c r="G332" s="34">
        <v>0</v>
      </c>
      <c r="H332" s="34"/>
      <c r="I332" s="34">
        <v>0</v>
      </c>
      <c r="J332" s="34">
        <v>1</v>
      </c>
      <c r="K332" s="107">
        <v>0</v>
      </c>
      <c r="L332" s="34">
        <v>4</v>
      </c>
    </row>
    <row r="333" spans="1:12" ht="16.5" x14ac:dyDescent="0.35">
      <c r="A333" s="106" t="str">
        <f>HYPERLINK("https://www.examplebusiness.com/resource-center/insurance/term-vs-permanent-life-insurance","https://www.examplebusiness.com/resource-center/insurance/term-vs-permanent-life-insurance")</f>
        <v>https://www.examplebusiness.com/resource-center/insurance/term-vs-permanent-life-insurance</v>
      </c>
      <c r="B333" s="34">
        <v>4</v>
      </c>
      <c r="C333" s="34">
        <v>0</v>
      </c>
      <c r="D333" s="34">
        <v>0</v>
      </c>
      <c r="E333" s="34">
        <v>0</v>
      </c>
      <c r="F333" s="34">
        <v>200</v>
      </c>
      <c r="G333" s="34">
        <v>0</v>
      </c>
      <c r="H333" s="34"/>
      <c r="I333" s="34" t="s">
        <v>1561</v>
      </c>
      <c r="J333" s="34" t="s">
        <v>1561</v>
      </c>
      <c r="K333" s="107" t="s">
        <v>1561</v>
      </c>
      <c r="L333" s="34" t="s">
        <v>1561</v>
      </c>
    </row>
    <row r="334" spans="1:12" ht="16.5" x14ac:dyDescent="0.35">
      <c r="A334" s="106" t="str">
        <f>HYPERLINK("https://www.examplebusiness.com/resource-center/insurance/questions-to-ask-about-medicare","https://www.examplebusiness.com/resource-center/insurance/questions-to-ask-about-medicare")</f>
        <v>https://www.examplebusiness.com/resource-center/insurance/questions-to-ask-about-medicare</v>
      </c>
      <c r="B334" s="34">
        <v>4</v>
      </c>
      <c r="C334" s="34">
        <v>0</v>
      </c>
      <c r="D334" s="34">
        <v>0</v>
      </c>
      <c r="E334" s="34">
        <v>0</v>
      </c>
      <c r="F334" s="34">
        <v>200</v>
      </c>
      <c r="G334" s="34">
        <v>0</v>
      </c>
      <c r="H334" s="34"/>
      <c r="I334" s="34" t="s">
        <v>1561</v>
      </c>
      <c r="J334" s="34" t="s">
        <v>1561</v>
      </c>
      <c r="K334" s="107" t="s">
        <v>1561</v>
      </c>
      <c r="L334" s="34" t="s">
        <v>1561</v>
      </c>
    </row>
    <row r="335" spans="1:12" ht="16.5" x14ac:dyDescent="0.35">
      <c r="A335" s="106" t="str">
        <f>HYPERLINK("https://www.examplebusiness.com/resource-center/investment/best-performing-asset-classes","https://www.examplebusiness.com/resource-center/investment/best-performing-asset-classes")</f>
        <v>https://www.examplebusiness.com/resource-center/investment/best-performing-asset-classes</v>
      </c>
      <c r="B335" s="34">
        <v>4</v>
      </c>
      <c r="C335" s="34">
        <v>0</v>
      </c>
      <c r="D335" s="34">
        <v>0</v>
      </c>
      <c r="E335" s="34">
        <v>0</v>
      </c>
      <c r="F335" s="34">
        <v>200</v>
      </c>
      <c r="G335" s="34">
        <v>0</v>
      </c>
      <c r="H335" s="34"/>
      <c r="I335" s="34">
        <v>0</v>
      </c>
      <c r="J335" s="34">
        <v>2</v>
      </c>
      <c r="K335" s="107">
        <v>0</v>
      </c>
      <c r="L335" s="34">
        <v>9</v>
      </c>
    </row>
    <row r="336" spans="1:12" ht="16.5" x14ac:dyDescent="0.35">
      <c r="A336" s="106" t="str">
        <f>HYPERLINK("https://www.examplebusiness.com/resource-center/investment/the-fed-and-how-it-got-that-way","https://www.examplebusiness.com/resource-center/investment/the-fed-and-how-it-got-that-way")</f>
        <v>https://www.examplebusiness.com/resource-center/investment/the-fed-and-how-it-got-that-way</v>
      </c>
      <c r="B336" s="34">
        <v>4</v>
      </c>
      <c r="C336" s="34">
        <v>0</v>
      </c>
      <c r="D336" s="34">
        <v>0</v>
      </c>
      <c r="E336" s="34">
        <v>0</v>
      </c>
      <c r="F336" s="34">
        <v>200</v>
      </c>
      <c r="G336" s="34">
        <v>0</v>
      </c>
      <c r="H336" s="34"/>
      <c r="I336" s="34" t="s">
        <v>1561</v>
      </c>
      <c r="J336" s="34" t="s">
        <v>1561</v>
      </c>
      <c r="K336" s="107" t="s">
        <v>1561</v>
      </c>
      <c r="L336" s="34" t="s">
        <v>1561</v>
      </c>
    </row>
    <row r="337" spans="1:12" ht="16.5" x14ac:dyDescent="0.35">
      <c r="A337" s="106" t="str">
        <f>HYPERLINK("https://www.examplebusiness.com/blog/why-a-potential-democrat-sweep-may-not-be-a-market-worry","https://www.examplebusiness.com/blog/why-a-potential-democrat-sweep-may-not-be-a-market-worry")</f>
        <v>https://www.examplebusiness.com/blog/why-a-potential-democrat-sweep-may-not-be-a-market-worry</v>
      </c>
      <c r="B337" s="34">
        <v>4</v>
      </c>
      <c r="C337" s="34">
        <v>0</v>
      </c>
      <c r="D337" s="34">
        <v>0</v>
      </c>
      <c r="E337" s="34">
        <v>0</v>
      </c>
      <c r="F337" s="34">
        <v>200</v>
      </c>
      <c r="G337" s="34">
        <v>0</v>
      </c>
      <c r="H337" s="34"/>
      <c r="I337" s="34">
        <v>0</v>
      </c>
      <c r="J337" s="34">
        <v>4</v>
      </c>
      <c r="K337" s="107">
        <v>0</v>
      </c>
      <c r="L337" s="34">
        <v>41.5</v>
      </c>
    </row>
    <row r="338" spans="1:12" ht="16.5" x14ac:dyDescent="0.35">
      <c r="A338" s="106" t="str">
        <f>HYPERLINK("https://www.examplebusiness.com/blog/key-tax-deadlines-for-2021","https://www.examplebusiness.com/blog/key-tax-deadlines-for-2021")</f>
        <v>https://www.examplebusiness.com/blog/key-tax-deadlines-for-2021</v>
      </c>
      <c r="B338" s="34">
        <v>4</v>
      </c>
      <c r="C338" s="34">
        <v>0</v>
      </c>
      <c r="D338" s="34">
        <v>0</v>
      </c>
      <c r="E338" s="34">
        <v>0</v>
      </c>
      <c r="F338" s="34">
        <v>200</v>
      </c>
      <c r="G338" s="34">
        <v>0</v>
      </c>
      <c r="H338" s="34"/>
      <c r="I338" s="34" t="s">
        <v>1561</v>
      </c>
      <c r="J338" s="34" t="s">
        <v>1561</v>
      </c>
      <c r="K338" s="107" t="s">
        <v>1561</v>
      </c>
      <c r="L338" s="34" t="s">
        <v>1561</v>
      </c>
    </row>
    <row r="339" spans="1:12" ht="16.5" x14ac:dyDescent="0.35">
      <c r="A339" s="106" t="str">
        <f>HYPERLINK("https://www.examplebusiness.com/blog/qa-on-the-trade-war-with-china","https://www.examplebusiness.com/blog/qa-on-the-trade-war-with-china")</f>
        <v>https://www.examplebusiness.com/blog/qa-on-the-trade-war-with-china</v>
      </c>
      <c r="B339" s="34">
        <v>4</v>
      </c>
      <c r="C339" s="34">
        <v>0</v>
      </c>
      <c r="D339" s="34">
        <v>0</v>
      </c>
      <c r="E339" s="34">
        <v>0</v>
      </c>
      <c r="F339" s="34">
        <v>200</v>
      </c>
      <c r="G339" s="34">
        <v>0</v>
      </c>
      <c r="H339" s="34"/>
      <c r="I339" s="34">
        <v>0</v>
      </c>
      <c r="J339" s="34">
        <v>4</v>
      </c>
      <c r="K339" s="107">
        <v>0</v>
      </c>
      <c r="L339" s="34">
        <v>38.25</v>
      </c>
    </row>
    <row r="340" spans="1:12" ht="16.5" x14ac:dyDescent="0.35">
      <c r="A340" s="110" t="str">
        <f>HYPERLINK("https://www.examplebusiness.com/blog/what-to-do-with-your-401k-when-changing-jobs","https://www.examplebusiness.com/blog/what-to-do-with-your-401k-when-changing-jobs")</f>
        <v>https://www.examplebusiness.com/blog/what-to-do-with-your-401k-when-changing-jobs</v>
      </c>
      <c r="B340" s="34">
        <v>4</v>
      </c>
      <c r="C340" s="34">
        <v>0</v>
      </c>
      <c r="D340" s="34">
        <v>0</v>
      </c>
      <c r="E340" s="34">
        <v>0</v>
      </c>
      <c r="F340" s="34">
        <v>200</v>
      </c>
      <c r="G340" s="34">
        <v>0</v>
      </c>
      <c r="H340" s="34"/>
      <c r="I340" s="34" t="s">
        <v>1561</v>
      </c>
      <c r="J340" s="34" t="s">
        <v>1561</v>
      </c>
      <c r="K340" s="107" t="s">
        <v>1561</v>
      </c>
      <c r="L340" s="34" t="s">
        <v>1561</v>
      </c>
    </row>
    <row r="341" spans="1:12" ht="16.5" x14ac:dyDescent="0.35">
      <c r="A341" s="106" t="str">
        <f>HYPERLINK("https://www.examplebusiness.com/resource-center/lifestyle/mastering-mobile-lingo","https://www.examplebusiness.com/resource-center/lifestyle/mastering-mobile-lingo")</f>
        <v>https://www.examplebusiness.com/resource-center/lifestyle/mastering-mobile-lingo</v>
      </c>
      <c r="B341" s="34">
        <v>4</v>
      </c>
      <c r="C341" s="34">
        <v>0</v>
      </c>
      <c r="D341" s="34">
        <v>0</v>
      </c>
      <c r="E341" s="34">
        <v>0</v>
      </c>
      <c r="F341" s="34">
        <v>200</v>
      </c>
      <c r="G341" s="34">
        <v>0</v>
      </c>
      <c r="H341" s="34"/>
      <c r="I341" s="34" t="s">
        <v>1561</v>
      </c>
      <c r="J341" s="34" t="s">
        <v>1561</v>
      </c>
      <c r="K341" s="107" t="s">
        <v>1561</v>
      </c>
      <c r="L341" s="34" t="s">
        <v>1561</v>
      </c>
    </row>
    <row r="342" spans="1:12" ht="16.5" x14ac:dyDescent="0.35">
      <c r="A342" s="106" t="str">
        <f>HYPERLINK("https://www.examplebusiness.com/blog/the-covid-19-battle","https://www.examplebusiness.com/blog/the-covid-19-battle")</f>
        <v>https://www.examplebusiness.com/blog/the-covid-19-battle</v>
      </c>
      <c r="B342" s="34">
        <v>4</v>
      </c>
      <c r="C342" s="34">
        <v>0</v>
      </c>
      <c r="D342" s="34">
        <v>0</v>
      </c>
      <c r="E342" s="34">
        <v>0</v>
      </c>
      <c r="F342" s="34">
        <v>200</v>
      </c>
      <c r="G342" s="34">
        <v>0</v>
      </c>
      <c r="H342" s="34"/>
      <c r="I342" s="34" t="s">
        <v>1561</v>
      </c>
      <c r="J342" s="34" t="s">
        <v>1561</v>
      </c>
      <c r="K342" s="107" t="s">
        <v>1561</v>
      </c>
      <c r="L342" s="34" t="s">
        <v>1561</v>
      </c>
    </row>
    <row r="343" spans="1:12" ht="16.5" x14ac:dyDescent="0.35">
      <c r="A343" s="106" t="str">
        <f>HYPERLINK("https://www.examplebusiness.com/resource-center/insurance/the-cost-of-medical-care","https://www.examplebusiness.com/resource-center/insurance/the-cost-of-medical-care")</f>
        <v>https://www.examplebusiness.com/resource-center/insurance/the-cost-of-medical-care</v>
      </c>
      <c r="B343" s="34">
        <v>4</v>
      </c>
      <c r="C343" s="34">
        <v>0</v>
      </c>
      <c r="D343" s="34">
        <v>0</v>
      </c>
      <c r="E343" s="34">
        <v>0</v>
      </c>
      <c r="F343" s="34">
        <v>200</v>
      </c>
      <c r="G343" s="34">
        <v>0</v>
      </c>
      <c r="H343" s="34"/>
      <c r="I343" s="34" t="s">
        <v>1561</v>
      </c>
      <c r="J343" s="34" t="s">
        <v>1561</v>
      </c>
      <c r="K343" s="107" t="s">
        <v>1561</v>
      </c>
      <c r="L343" s="34" t="s">
        <v>1561</v>
      </c>
    </row>
    <row r="344" spans="1:12" ht="16.5" x14ac:dyDescent="0.35">
      <c r="A344" s="106" t="str">
        <f>HYPERLINK("https://www.examplebusiness.com/blog/resilience-perseverance-and-innovation","https://www.examplebusiness.com/blog/resilience-perseverance-and-innovation")</f>
        <v>https://www.examplebusiness.com/blog/resilience-perseverance-and-innovation</v>
      </c>
      <c r="B344" s="34">
        <v>4</v>
      </c>
      <c r="C344" s="34">
        <v>0</v>
      </c>
      <c r="D344" s="34">
        <v>0</v>
      </c>
      <c r="E344" s="34">
        <v>0</v>
      </c>
      <c r="F344" s="34">
        <v>200</v>
      </c>
      <c r="G344" s="34">
        <v>0</v>
      </c>
      <c r="H344" s="34"/>
      <c r="I344" s="34">
        <v>0</v>
      </c>
      <c r="J344" s="34">
        <v>4</v>
      </c>
      <c r="K344" s="107">
        <v>0</v>
      </c>
      <c r="L344" s="34">
        <v>15</v>
      </c>
    </row>
    <row r="345" spans="1:12" ht="16.5" x14ac:dyDescent="0.35">
      <c r="A345" s="106" t="str">
        <f>HYPERLINK("https://www.examplebusiness.com/blog/investing-in-an-election-year","https://www.examplebusiness.com/blog/investing-in-an-election-year")</f>
        <v>https://www.examplebusiness.com/blog/investing-in-an-election-year</v>
      </c>
      <c r="B345" s="34">
        <v>4</v>
      </c>
      <c r="C345" s="34">
        <v>0</v>
      </c>
      <c r="D345" s="34">
        <v>0</v>
      </c>
      <c r="E345" s="34">
        <v>0</v>
      </c>
      <c r="F345" s="34">
        <v>200</v>
      </c>
      <c r="G345" s="34">
        <v>0</v>
      </c>
      <c r="H345" s="34"/>
      <c r="I345" s="34" t="s">
        <v>1561</v>
      </c>
      <c r="J345" s="34" t="s">
        <v>1561</v>
      </c>
      <c r="K345" s="107" t="s">
        <v>1561</v>
      </c>
      <c r="L345" s="34" t="s">
        <v>1561</v>
      </c>
    </row>
    <row r="346" spans="1:12" ht="16.5" x14ac:dyDescent="0.35">
      <c r="A346" s="106" t="str">
        <f>HYPERLINK("https://www.examplebusiness.com/resource-center/investment/the-return-of-market-volatility","https://www.examplebusiness.com/resource-center/investment/the-return-of-market-volatility")</f>
        <v>https://www.examplebusiness.com/resource-center/investment/the-return-of-market-volatility</v>
      </c>
      <c r="B346" s="34">
        <v>4</v>
      </c>
      <c r="C346" s="34">
        <v>0</v>
      </c>
      <c r="D346" s="34">
        <v>0</v>
      </c>
      <c r="E346" s="34">
        <v>0</v>
      </c>
      <c r="F346" s="34">
        <v>200</v>
      </c>
      <c r="G346" s="34">
        <v>0</v>
      </c>
      <c r="H346" s="34"/>
      <c r="I346" s="34" t="s">
        <v>1561</v>
      </c>
      <c r="J346" s="34" t="s">
        <v>1561</v>
      </c>
      <c r="K346" s="107" t="s">
        <v>1561</v>
      </c>
      <c r="L346" s="34" t="s">
        <v>1561</v>
      </c>
    </row>
    <row r="347" spans="1:12" ht="16.5" x14ac:dyDescent="0.35">
      <c r="A347" s="106" t="str">
        <f>HYPERLINK("https://www.examplebusiness.com/resource-center/estate/why-everyone-needs-an-estate-strategy","https://www.examplebusiness.com/resource-center/estate/why-everyone-needs-an-estate-strategy")</f>
        <v>https://www.examplebusiness.com/resource-center/estate/why-everyone-needs-an-estate-strategy</v>
      </c>
      <c r="B347" s="34">
        <v>4</v>
      </c>
      <c r="C347" s="34">
        <v>0</v>
      </c>
      <c r="D347" s="34">
        <v>0</v>
      </c>
      <c r="E347" s="34">
        <v>0</v>
      </c>
      <c r="F347" s="34">
        <v>200</v>
      </c>
      <c r="G347" s="34">
        <v>0</v>
      </c>
      <c r="H347" s="34"/>
      <c r="I347" s="34" t="s">
        <v>1561</v>
      </c>
      <c r="J347" s="34" t="s">
        <v>1561</v>
      </c>
      <c r="K347" s="107" t="s">
        <v>1561</v>
      </c>
      <c r="L347" s="34" t="s">
        <v>1561</v>
      </c>
    </row>
    <row r="348" spans="1:12" ht="16.5" x14ac:dyDescent="0.35">
      <c r="A348" s="106" t="str">
        <f>HYPERLINK("https://www.examplebusiness.com/resource-center/retirement/the-power-of-tax-deferred-growth","https://www.examplebusiness.com/resource-center/retirement/the-power-of-tax-deferred-growth")</f>
        <v>https://www.examplebusiness.com/resource-center/retirement/the-power-of-tax-deferred-growth</v>
      </c>
      <c r="B348" s="34">
        <v>4</v>
      </c>
      <c r="C348" s="34">
        <v>0</v>
      </c>
      <c r="D348" s="34">
        <v>0</v>
      </c>
      <c r="E348" s="34">
        <v>0</v>
      </c>
      <c r="F348" s="34">
        <v>200</v>
      </c>
      <c r="G348" s="34">
        <v>0</v>
      </c>
      <c r="H348" s="34"/>
      <c r="I348" s="34" t="s">
        <v>1561</v>
      </c>
      <c r="J348" s="34" t="s">
        <v>1561</v>
      </c>
      <c r="K348" s="107" t="s">
        <v>1561</v>
      </c>
      <c r="L348" s="34" t="s">
        <v>1561</v>
      </c>
    </row>
    <row r="349" spans="1:12" ht="16.5" x14ac:dyDescent="0.35">
      <c r="A349" s="106" t="str">
        <f>HYPERLINK("https://www.examplebusiness.com/resource-center/insurance/social-media-newest-business-liability-risk","https://www.examplebusiness.com/resource-center/insurance/social-media-newest-business-liability-risk")</f>
        <v>https://www.examplebusiness.com/resource-center/insurance/social-media-newest-business-liability-risk</v>
      </c>
      <c r="B349" s="34">
        <v>4</v>
      </c>
      <c r="C349" s="34">
        <v>0</v>
      </c>
      <c r="D349" s="34">
        <v>0</v>
      </c>
      <c r="E349" s="34">
        <v>0</v>
      </c>
      <c r="F349" s="34">
        <v>200</v>
      </c>
      <c r="G349" s="34">
        <v>0</v>
      </c>
      <c r="H349" s="34"/>
      <c r="I349" s="34" t="s">
        <v>1561</v>
      </c>
      <c r="J349" s="34" t="s">
        <v>1561</v>
      </c>
      <c r="K349" s="107" t="s">
        <v>1561</v>
      </c>
      <c r="L349" s="34" t="s">
        <v>1561</v>
      </c>
    </row>
    <row r="350" spans="1:12" ht="16.5" x14ac:dyDescent="0.35">
      <c r="A350" s="106" t="str">
        <f>HYPERLINK("https://www.examplebusiness.com/resource-center/insurance/when-to-self-insure","https://www.examplebusiness.com/resource-center/insurance/when-to-self-insure")</f>
        <v>https://www.examplebusiness.com/resource-center/insurance/when-to-self-insure</v>
      </c>
      <c r="B350" s="34">
        <v>4</v>
      </c>
      <c r="C350" s="34">
        <v>0</v>
      </c>
      <c r="D350" s="34">
        <v>0</v>
      </c>
      <c r="E350" s="34">
        <v>0</v>
      </c>
      <c r="F350" s="34">
        <v>200</v>
      </c>
      <c r="G350" s="34">
        <v>0</v>
      </c>
      <c r="H350" s="34"/>
      <c r="I350" s="34" t="s">
        <v>1561</v>
      </c>
      <c r="J350" s="34" t="s">
        <v>1561</v>
      </c>
      <c r="K350" s="107" t="s">
        <v>1561</v>
      </c>
      <c r="L350" s="34" t="s">
        <v>1561</v>
      </c>
    </row>
    <row r="351" spans="1:12" ht="16.5" x14ac:dyDescent="0.35">
      <c r="A351" s="106" t="str">
        <f>HYPERLINK("https://www.examplebusiness.com/blog/recognizing-and-avoiding-online-scams","https://www.examplebusiness.com/blog/recognizing-and-avoiding-online-scams")</f>
        <v>https://www.examplebusiness.com/blog/recognizing-and-avoiding-online-scams</v>
      </c>
      <c r="B351" s="34">
        <v>4</v>
      </c>
      <c r="C351" s="34">
        <v>0</v>
      </c>
      <c r="D351" s="34">
        <v>0</v>
      </c>
      <c r="E351" s="34">
        <v>0</v>
      </c>
      <c r="F351" s="34">
        <v>200</v>
      </c>
      <c r="G351" s="34">
        <v>0</v>
      </c>
      <c r="H351" s="34"/>
      <c r="I351" s="34" t="s">
        <v>1561</v>
      </c>
      <c r="J351" s="34" t="s">
        <v>1561</v>
      </c>
      <c r="K351" s="107" t="s">
        <v>1561</v>
      </c>
      <c r="L351" s="34" t="s">
        <v>1561</v>
      </c>
    </row>
    <row r="352" spans="1:12" ht="16.5" x14ac:dyDescent="0.35">
      <c r="A352" s="106" t="str">
        <f>HYPERLINK("https://www.examplebusiness.com/resource-center/estate/when-heirs-are-imperfect","https://www.examplebusiness.com/resource-center/estate/when-heirs-are-imperfect")</f>
        <v>https://www.examplebusiness.com/resource-center/estate/when-heirs-are-imperfect</v>
      </c>
      <c r="B352" s="34">
        <v>4</v>
      </c>
      <c r="C352" s="34">
        <v>0</v>
      </c>
      <c r="D352" s="34">
        <v>0</v>
      </c>
      <c r="E352" s="34">
        <v>0</v>
      </c>
      <c r="F352" s="34">
        <v>200</v>
      </c>
      <c r="G352" s="34">
        <v>0</v>
      </c>
      <c r="H352" s="34"/>
      <c r="I352" s="34" t="s">
        <v>1561</v>
      </c>
      <c r="J352" s="34" t="s">
        <v>1561</v>
      </c>
      <c r="K352" s="107" t="s">
        <v>1561</v>
      </c>
      <c r="L352" s="34" t="s">
        <v>1561</v>
      </c>
    </row>
    <row r="353" spans="1:12" ht="16.5" x14ac:dyDescent="0.35">
      <c r="A353" s="106" t="str">
        <f>HYPERLINK("https://www.examplebusiness.com/resource-center/lifestyle/crowdfunding-capital-for-the-21st-century","https://www.examplebusiness.com/resource-center/lifestyle/crowdfunding-capital-for-the-21st-century")</f>
        <v>https://www.examplebusiness.com/resource-center/lifestyle/crowdfunding-capital-for-the-21st-century</v>
      </c>
      <c r="B353" s="34">
        <v>4</v>
      </c>
      <c r="C353" s="34">
        <v>0</v>
      </c>
      <c r="D353" s="34">
        <v>0</v>
      </c>
      <c r="E353" s="34">
        <v>0</v>
      </c>
      <c r="F353" s="34">
        <v>200</v>
      </c>
      <c r="G353" s="34">
        <v>0</v>
      </c>
      <c r="H353" s="34"/>
      <c r="I353" s="34">
        <v>0</v>
      </c>
      <c r="J353" s="34">
        <v>1</v>
      </c>
      <c r="K353" s="107">
        <v>0</v>
      </c>
      <c r="L353" s="34">
        <v>7</v>
      </c>
    </row>
    <row r="354" spans="1:12" ht="16.5" x14ac:dyDescent="0.35">
      <c r="A354" s="106" t="str">
        <f>HYPERLINK("https://www.examplebusiness.com/resource-center/estate/yours-mine-and-ours-estate-strategies-for-second-marriages","https://www.examplebusiness.com/resource-center/estate/yours-mine-and-ours-estate-strategies-for-second-marriages")</f>
        <v>https://www.examplebusiness.com/resource-center/estate/yours-mine-and-ours-estate-strategies-for-second-marriages</v>
      </c>
      <c r="B354" s="34">
        <v>4</v>
      </c>
      <c r="C354" s="34">
        <v>0</v>
      </c>
      <c r="D354" s="34">
        <v>0</v>
      </c>
      <c r="E354" s="34">
        <v>0</v>
      </c>
      <c r="F354" s="34">
        <v>200</v>
      </c>
      <c r="G354" s="34">
        <v>0</v>
      </c>
      <c r="H354" s="34"/>
      <c r="I354" s="34" t="s">
        <v>1561</v>
      </c>
      <c r="J354" s="34" t="s">
        <v>1561</v>
      </c>
      <c r="K354" s="107" t="s">
        <v>1561</v>
      </c>
      <c r="L354" s="34" t="s">
        <v>1561</v>
      </c>
    </row>
    <row r="355" spans="1:12" ht="16.5" x14ac:dyDescent="0.35">
      <c r="A355" s="106" t="str">
        <f>HYPERLINK("https://www.examplebusiness.com/resource-center/money/strategies-for-managing-student-loan-debt","https://www.examplebusiness.com/resource-center/money/strategies-for-managing-student-loan-debt")</f>
        <v>https://www.examplebusiness.com/resource-center/money/strategies-for-managing-student-loan-debt</v>
      </c>
      <c r="B355" s="34">
        <v>4</v>
      </c>
      <c r="C355" s="34">
        <v>0</v>
      </c>
      <c r="D355" s="34">
        <v>0</v>
      </c>
      <c r="E355" s="34">
        <v>0</v>
      </c>
      <c r="F355" s="34">
        <v>200</v>
      </c>
      <c r="G355" s="34">
        <v>0</v>
      </c>
      <c r="H355" s="34"/>
      <c r="I355" s="34" t="s">
        <v>1561</v>
      </c>
      <c r="J355" s="34" t="s">
        <v>1561</v>
      </c>
      <c r="K355" s="107" t="s">
        <v>1561</v>
      </c>
      <c r="L355" s="34" t="s">
        <v>1561</v>
      </c>
    </row>
    <row r="356" spans="1:12" ht="16.5" x14ac:dyDescent="0.35">
      <c r="A356" s="106" t="str">
        <f>HYPERLINK("https://www.examplebusiness.com/resource-center/insurance/does-your-credit-score-affect-your-insurance-rates-1","https://www.examplebusiness.com/resource-center/insurance/does-your-credit-score-affect-your-insurance-rates-1")</f>
        <v>https://www.examplebusiness.com/resource-center/insurance/does-your-credit-score-affect-your-insurance-rates-1</v>
      </c>
      <c r="B356" s="34">
        <v>4</v>
      </c>
      <c r="C356" s="34">
        <v>0</v>
      </c>
      <c r="D356" s="34">
        <v>0</v>
      </c>
      <c r="E356" s="34">
        <v>0</v>
      </c>
      <c r="F356" s="34">
        <v>200</v>
      </c>
      <c r="G356" s="34">
        <v>0</v>
      </c>
      <c r="H356" s="34"/>
      <c r="I356" s="34" t="s">
        <v>1561</v>
      </c>
      <c r="J356" s="34" t="s">
        <v>1561</v>
      </c>
      <c r="K356" s="107" t="s">
        <v>1561</v>
      </c>
      <c r="L356" s="34" t="s">
        <v>1561</v>
      </c>
    </row>
    <row r="357" spans="1:12" ht="16.5" x14ac:dyDescent="0.35">
      <c r="A357" s="106" t="str">
        <f>HYPERLINK("https://www.examplebusiness.com/resource-center/retirement/a-bucket-plan-to-go-with-your-bucket-list","https://www.examplebusiness.com/resource-center/retirement/a-bucket-plan-to-go-with-your-bucket-list")</f>
        <v>https://www.examplebusiness.com/resource-center/retirement/a-bucket-plan-to-go-with-your-bucket-list</v>
      </c>
      <c r="B357" s="34">
        <v>4</v>
      </c>
      <c r="C357" s="34">
        <v>0</v>
      </c>
      <c r="D357" s="34">
        <v>0</v>
      </c>
      <c r="E357" s="34">
        <v>0</v>
      </c>
      <c r="F357" s="34">
        <v>200</v>
      </c>
      <c r="G357" s="34">
        <v>0</v>
      </c>
      <c r="H357" s="34"/>
      <c r="I357" s="34" t="s">
        <v>1561</v>
      </c>
      <c r="J357" s="34" t="s">
        <v>1561</v>
      </c>
      <c r="K357" s="107" t="s">
        <v>1561</v>
      </c>
      <c r="L357" s="34" t="s">
        <v>1561</v>
      </c>
    </row>
    <row r="358" spans="1:12" ht="16.5" x14ac:dyDescent="0.35">
      <c r="A358" s="106" t="str">
        <f>HYPERLINK("https://www.examplebusiness.com/blog/6-ways-to-a-happier-retirement","https://www.examplebusiness.com/blog/6-ways-to-a-happier-retirement")</f>
        <v>https://www.examplebusiness.com/blog/6-ways-to-a-happier-retirement</v>
      </c>
      <c r="B358" s="34">
        <v>4</v>
      </c>
      <c r="C358" s="34">
        <v>0</v>
      </c>
      <c r="D358" s="34">
        <v>0</v>
      </c>
      <c r="E358" s="34">
        <v>0</v>
      </c>
      <c r="F358" s="34">
        <v>200</v>
      </c>
      <c r="G358" s="34">
        <v>0</v>
      </c>
      <c r="H358" s="34"/>
      <c r="I358" s="34" t="s">
        <v>1561</v>
      </c>
      <c r="J358" s="34" t="s">
        <v>1561</v>
      </c>
      <c r="K358" s="107" t="s">
        <v>1561</v>
      </c>
      <c r="L358" s="34" t="s">
        <v>1561</v>
      </c>
    </row>
    <row r="359" spans="1:12" ht="16.5" x14ac:dyDescent="0.35">
      <c r="A359" s="106" t="str">
        <f>HYPERLINK("https://www.examplebusiness.com/resource-center/retirement/systematic-withdrawals-in-retirement","https://www.examplebusiness.com/resource-center/retirement/systematic-withdrawals-in-retirement")</f>
        <v>https://www.examplebusiness.com/resource-center/retirement/systematic-withdrawals-in-retirement</v>
      </c>
      <c r="B359" s="34">
        <v>4</v>
      </c>
      <c r="C359" s="34">
        <v>0</v>
      </c>
      <c r="D359" s="34">
        <v>0</v>
      </c>
      <c r="E359" s="34">
        <v>0</v>
      </c>
      <c r="F359" s="34">
        <v>200</v>
      </c>
      <c r="G359" s="34">
        <v>0</v>
      </c>
      <c r="H359" s="34"/>
      <c r="I359" s="34" t="s">
        <v>1561</v>
      </c>
      <c r="J359" s="34" t="s">
        <v>1561</v>
      </c>
      <c r="K359" s="107" t="s">
        <v>1561</v>
      </c>
      <c r="L359" s="34" t="s">
        <v>1561</v>
      </c>
    </row>
    <row r="360" spans="1:12" ht="16.5" x14ac:dyDescent="0.35">
      <c r="A360" s="106" t="str">
        <f>HYPERLINK("https://www.examplebusiness.com/resource-center/retirement/whats-new-for-social-security","https://www.examplebusiness.com/resource-center/retirement/whats-new-for-social-security")</f>
        <v>https://www.examplebusiness.com/resource-center/retirement/whats-new-for-social-security</v>
      </c>
      <c r="B360" s="34">
        <v>4</v>
      </c>
      <c r="C360" s="34">
        <v>0</v>
      </c>
      <c r="D360" s="34">
        <v>0</v>
      </c>
      <c r="E360" s="34">
        <v>0</v>
      </c>
      <c r="F360" s="34">
        <v>200</v>
      </c>
      <c r="G360" s="34">
        <v>0</v>
      </c>
      <c r="H360" s="34"/>
      <c r="I360" s="34" t="s">
        <v>1561</v>
      </c>
      <c r="J360" s="34" t="s">
        <v>1561</v>
      </c>
      <c r="K360" s="107" t="s">
        <v>1561</v>
      </c>
      <c r="L360" s="34" t="s">
        <v>1561</v>
      </c>
    </row>
    <row r="361" spans="1:12" ht="16.5" x14ac:dyDescent="0.35">
      <c r="A361" s="106" t="str">
        <f>HYPERLINK("https://www.examplebusiness.com/resource-center/lifestyle/countdown-to-college","https://www.examplebusiness.com/resource-center/lifestyle/countdown-to-college")</f>
        <v>https://www.examplebusiness.com/resource-center/lifestyle/countdown-to-college</v>
      </c>
      <c r="B361" s="34">
        <v>4</v>
      </c>
      <c r="C361" s="34">
        <v>0</v>
      </c>
      <c r="D361" s="34">
        <v>0</v>
      </c>
      <c r="E361" s="34">
        <v>0</v>
      </c>
      <c r="F361" s="34">
        <v>200</v>
      </c>
      <c r="G361" s="34">
        <v>0</v>
      </c>
      <c r="H361" s="34"/>
      <c r="I361" s="34" t="s">
        <v>1561</v>
      </c>
      <c r="J361" s="34" t="s">
        <v>1561</v>
      </c>
      <c r="K361" s="107" t="s">
        <v>1561</v>
      </c>
      <c r="L361" s="34" t="s">
        <v>1561</v>
      </c>
    </row>
    <row r="362" spans="1:12" ht="16.5" x14ac:dyDescent="0.35">
      <c r="A362" s="106" t="str">
        <f>HYPERLINK("https://www.examplebusiness.com/resource-center/retirement/why-medicare-should-be-part-of-your-retirement-strategy","https://www.examplebusiness.com/resource-center/retirement/why-medicare-should-be-part-of-your-retirement-strategy")</f>
        <v>https://www.examplebusiness.com/resource-center/retirement/why-medicare-should-be-part-of-your-retirement-strategy</v>
      </c>
      <c r="B362" s="34">
        <v>4</v>
      </c>
      <c r="C362" s="34">
        <v>0</v>
      </c>
      <c r="D362" s="34">
        <v>0</v>
      </c>
      <c r="E362" s="34">
        <v>0</v>
      </c>
      <c r="F362" s="34">
        <v>200</v>
      </c>
      <c r="G362" s="34">
        <v>0</v>
      </c>
      <c r="H362" s="34"/>
      <c r="I362" s="34" t="s">
        <v>1561</v>
      </c>
      <c r="J362" s="34" t="s">
        <v>1561</v>
      </c>
      <c r="K362" s="107" t="s">
        <v>1561</v>
      </c>
      <c r="L362" s="34" t="s">
        <v>1561</v>
      </c>
    </row>
    <row r="363" spans="1:12" ht="16.5" x14ac:dyDescent="0.35">
      <c r="A363" s="106" t="str">
        <f>HYPERLINK("https://www.examplebusiness.com/resource-center/insurance/silver-sneakers-101","https://www.examplebusiness.com/resource-center/insurance/silver-sneakers-101")</f>
        <v>https://www.examplebusiness.com/resource-center/insurance/silver-sneakers-101</v>
      </c>
      <c r="B363" s="34">
        <v>4</v>
      </c>
      <c r="C363" s="34">
        <v>0</v>
      </c>
      <c r="D363" s="34">
        <v>0</v>
      </c>
      <c r="E363" s="34">
        <v>0</v>
      </c>
      <c r="F363" s="34">
        <v>200</v>
      </c>
      <c r="G363" s="34">
        <v>0</v>
      </c>
      <c r="H363" s="34"/>
      <c r="I363" s="34" t="s">
        <v>1561</v>
      </c>
      <c r="J363" s="34" t="s">
        <v>1561</v>
      </c>
      <c r="K363" s="107" t="s">
        <v>1561</v>
      </c>
      <c r="L363" s="34" t="s">
        <v>1561</v>
      </c>
    </row>
    <row r="364" spans="1:12" ht="16.5" x14ac:dyDescent="0.35">
      <c r="A364" s="106" t="str">
        <f>HYPERLINK("https://www.examplebusiness.com/resource-center/estate/put-it-in-a-letter","https://www.examplebusiness.com/resource-center/estate/put-it-in-a-letter")</f>
        <v>https://www.examplebusiness.com/resource-center/estate/put-it-in-a-letter</v>
      </c>
      <c r="B364" s="34">
        <v>4</v>
      </c>
      <c r="C364" s="34">
        <v>0</v>
      </c>
      <c r="D364" s="34">
        <v>0</v>
      </c>
      <c r="E364" s="34">
        <v>0</v>
      </c>
      <c r="F364" s="34">
        <v>200</v>
      </c>
      <c r="G364" s="34">
        <v>0</v>
      </c>
      <c r="H364" s="34"/>
      <c r="I364" s="34" t="s">
        <v>1561</v>
      </c>
      <c r="J364" s="34" t="s">
        <v>1561</v>
      </c>
      <c r="K364" s="107" t="s">
        <v>1561</v>
      </c>
      <c r="L364" s="34" t="s">
        <v>1561</v>
      </c>
    </row>
    <row r="365" spans="1:12" ht="16.5" x14ac:dyDescent="0.35">
      <c r="A365" s="106" t="str">
        <f>HYPERLINK("https://www.examplebusiness.com/resource-center/investment/whats-your-investment-iq","https://www.examplebusiness.com/resource-center/investment/whats-your-investment-iq")</f>
        <v>https://www.examplebusiness.com/resource-center/investment/whats-your-investment-iq</v>
      </c>
      <c r="B365" s="34">
        <v>4</v>
      </c>
      <c r="C365" s="34">
        <v>0</v>
      </c>
      <c r="D365" s="34">
        <v>0</v>
      </c>
      <c r="E365" s="34">
        <v>0</v>
      </c>
      <c r="F365" s="34">
        <v>200</v>
      </c>
      <c r="G365" s="34">
        <v>0</v>
      </c>
      <c r="H365" s="34"/>
      <c r="I365" s="34">
        <v>0</v>
      </c>
      <c r="J365" s="34">
        <v>4</v>
      </c>
      <c r="K365" s="107">
        <v>0</v>
      </c>
      <c r="L365" s="34">
        <v>87</v>
      </c>
    </row>
    <row r="366" spans="1:12" ht="16.5" x14ac:dyDescent="0.35">
      <c r="A366" s="106" t="str">
        <f>HYPERLINK("https://www.examplebusiness.com/resource-center/lifestyle/bi-weekly-payments","https://www.examplebusiness.com/resource-center/lifestyle/bi-weekly-payments")</f>
        <v>https://www.examplebusiness.com/resource-center/lifestyle/bi-weekly-payments</v>
      </c>
      <c r="B366" s="34">
        <v>4</v>
      </c>
      <c r="C366" s="34">
        <v>0</v>
      </c>
      <c r="D366" s="34">
        <v>0</v>
      </c>
      <c r="E366" s="34">
        <v>0</v>
      </c>
      <c r="F366" s="34">
        <v>200</v>
      </c>
      <c r="G366" s="34">
        <v>0</v>
      </c>
      <c r="H366" s="34"/>
      <c r="I366" s="34" t="s">
        <v>1561</v>
      </c>
      <c r="J366" s="34" t="s">
        <v>1561</v>
      </c>
      <c r="K366" s="107" t="s">
        <v>1561</v>
      </c>
      <c r="L366" s="34" t="s">
        <v>1561</v>
      </c>
    </row>
    <row r="367" spans="1:12" ht="16.5" x14ac:dyDescent="0.35">
      <c r="A367" s="106" t="str">
        <f>HYPERLINK("https://www.examplebusiness.com/blog/4-things-you-should-know-about-the-midterms","https://www.examplebusiness.com/blog/4-things-you-should-know-about-the-midterms")</f>
        <v>https://www.examplebusiness.com/blog/4-things-you-should-know-about-the-midterms</v>
      </c>
      <c r="B367" s="34">
        <v>4</v>
      </c>
      <c r="C367" s="34">
        <v>0</v>
      </c>
      <c r="D367" s="34">
        <v>0</v>
      </c>
      <c r="E367" s="34">
        <v>0</v>
      </c>
      <c r="F367" s="34">
        <v>200</v>
      </c>
      <c r="G367" s="34">
        <v>0</v>
      </c>
      <c r="H367" s="34"/>
      <c r="I367" s="34" t="s">
        <v>1561</v>
      </c>
      <c r="J367" s="34" t="s">
        <v>1561</v>
      </c>
      <c r="K367" s="107" t="s">
        <v>1561</v>
      </c>
      <c r="L367" s="34" t="s">
        <v>1561</v>
      </c>
    </row>
    <row r="368" spans="1:12" ht="16.5" x14ac:dyDescent="0.35">
      <c r="A368" s="106" t="str">
        <f>HYPERLINK("https://www.examplebusiness.com/resource-center/lifestyle/debt-stress","https://www.examplebusiness.com/resource-center/lifestyle/debt-stress")</f>
        <v>https://www.examplebusiness.com/resource-center/lifestyle/debt-stress</v>
      </c>
      <c r="B368" s="34">
        <v>4</v>
      </c>
      <c r="C368" s="34">
        <v>0</v>
      </c>
      <c r="D368" s="34">
        <v>0</v>
      </c>
      <c r="E368" s="34">
        <v>0</v>
      </c>
      <c r="F368" s="34">
        <v>200</v>
      </c>
      <c r="G368" s="34">
        <v>0</v>
      </c>
      <c r="H368" s="34"/>
      <c r="I368" s="34" t="s">
        <v>1561</v>
      </c>
      <c r="J368" s="34" t="s">
        <v>1561</v>
      </c>
      <c r="K368" s="107" t="s">
        <v>1561</v>
      </c>
      <c r="L368" s="34" t="s">
        <v>1561</v>
      </c>
    </row>
    <row r="369" spans="1:12" ht="16.5" x14ac:dyDescent="0.35">
      <c r="A369" s="106" t="str">
        <f>HYPERLINK("https://www.examplebusiness.com/blog/big-annual-declines-are-rare","https://www.examplebusiness.com/blog/big-annual-declines-are-rare")</f>
        <v>https://www.examplebusiness.com/blog/big-annual-declines-are-rare</v>
      </c>
      <c r="B369" s="34">
        <v>4</v>
      </c>
      <c r="C369" s="34">
        <v>0</v>
      </c>
      <c r="D369" s="34">
        <v>0</v>
      </c>
      <c r="E369" s="34">
        <v>0</v>
      </c>
      <c r="F369" s="34">
        <v>200</v>
      </c>
      <c r="G369" s="34">
        <v>0</v>
      </c>
      <c r="H369" s="34"/>
      <c r="I369" s="34" t="s">
        <v>1561</v>
      </c>
      <c r="J369" s="34" t="s">
        <v>1561</v>
      </c>
      <c r="K369" s="107" t="s">
        <v>1561</v>
      </c>
      <c r="L369" s="34" t="s">
        <v>1561</v>
      </c>
    </row>
    <row r="370" spans="1:12" ht="16.5" x14ac:dyDescent="0.35">
      <c r="A370" s="106" t="str">
        <f>HYPERLINK("https://www.examplebusiness.com/resource-center/insurance/ways-to-supplement-your-medicare-coverage","https://www.examplebusiness.com/resource-center/insurance/ways-to-supplement-your-medicare-coverage")</f>
        <v>https://www.examplebusiness.com/resource-center/insurance/ways-to-supplement-your-medicare-coverage</v>
      </c>
      <c r="B370" s="34">
        <v>4</v>
      </c>
      <c r="C370" s="34">
        <v>0</v>
      </c>
      <c r="D370" s="34">
        <v>0</v>
      </c>
      <c r="E370" s="34">
        <v>0</v>
      </c>
      <c r="F370" s="34">
        <v>200</v>
      </c>
      <c r="G370" s="34">
        <v>0</v>
      </c>
      <c r="H370" s="34"/>
      <c r="I370" s="34" t="s">
        <v>1561</v>
      </c>
      <c r="J370" s="34" t="s">
        <v>1561</v>
      </c>
      <c r="K370" s="107" t="s">
        <v>1561</v>
      </c>
      <c r="L370" s="34" t="s">
        <v>1561</v>
      </c>
    </row>
    <row r="371" spans="1:12" ht="16.5" x14ac:dyDescent="0.35">
      <c r="A371" s="106" t="str">
        <f>HYPERLINK("https://www.examplebusiness.com/resource-center/insurance/directors-and-officers-liability-insurance-1","https://www.examplebusiness.com/resource-center/insurance/directors-and-officers-liability-insurance-1")</f>
        <v>https://www.examplebusiness.com/resource-center/insurance/directors-and-officers-liability-insurance-1</v>
      </c>
      <c r="B371" s="34">
        <v>4</v>
      </c>
      <c r="C371" s="34">
        <v>0</v>
      </c>
      <c r="D371" s="34">
        <v>0</v>
      </c>
      <c r="E371" s="34">
        <v>0</v>
      </c>
      <c r="F371" s="34">
        <v>200</v>
      </c>
      <c r="G371" s="34">
        <v>0</v>
      </c>
      <c r="H371" s="34"/>
      <c r="I371" s="34">
        <v>0</v>
      </c>
      <c r="J371" s="34">
        <v>2</v>
      </c>
      <c r="K371" s="107">
        <v>0</v>
      </c>
      <c r="L371" s="34">
        <v>30.5</v>
      </c>
    </row>
    <row r="372" spans="1:12" ht="16.5" x14ac:dyDescent="0.35">
      <c r="A372" s="106" t="str">
        <f>HYPERLINK("https://www.examplebusiness.com/resource-center/retirement/annuity-comparison","https://www.examplebusiness.com/resource-center/retirement/annuity-comparison")</f>
        <v>https://www.examplebusiness.com/resource-center/retirement/annuity-comparison</v>
      </c>
      <c r="B372" s="34">
        <v>4</v>
      </c>
      <c r="C372" s="34">
        <v>0</v>
      </c>
      <c r="D372" s="34">
        <v>0</v>
      </c>
      <c r="E372" s="34">
        <v>0</v>
      </c>
      <c r="F372" s="34">
        <v>200</v>
      </c>
      <c r="G372" s="34">
        <v>0</v>
      </c>
      <c r="H372" s="34"/>
      <c r="I372" s="34">
        <v>0</v>
      </c>
      <c r="J372" s="34">
        <v>4</v>
      </c>
      <c r="K372" s="107">
        <v>0</v>
      </c>
      <c r="L372" s="34">
        <v>73</v>
      </c>
    </row>
    <row r="373" spans="1:12" ht="16.5" x14ac:dyDescent="0.35">
      <c r="A373" s="106" t="str">
        <f>HYPERLINK("https://www.examplebusiness.com/blog/end-of-year-eoy-deadlines-checklist","https://www.examplebusiness.com/blog/end-of-year-eoy-deadlines-checklist")</f>
        <v>https://www.examplebusiness.com/blog/end-of-year-eoy-deadlines-checklist</v>
      </c>
      <c r="B373" s="34">
        <v>4</v>
      </c>
      <c r="C373" s="34">
        <v>0</v>
      </c>
      <c r="D373" s="34">
        <v>0</v>
      </c>
      <c r="E373" s="34">
        <v>0</v>
      </c>
      <c r="F373" s="34">
        <v>200</v>
      </c>
      <c r="G373" s="34">
        <v>0</v>
      </c>
      <c r="H373" s="34"/>
      <c r="I373" s="34">
        <v>0</v>
      </c>
      <c r="J373" s="34">
        <v>12</v>
      </c>
      <c r="K373" s="107">
        <v>0</v>
      </c>
      <c r="L373" s="34">
        <v>58.83</v>
      </c>
    </row>
    <row r="374" spans="1:12" ht="16.5" x14ac:dyDescent="0.35">
      <c r="A374" s="106" t="str">
        <f>HYPERLINK("https://www.examplebusiness.com/blog/social-security-and-medicare-face-financial-challenges","https://www.examplebusiness.com/blog/social-security-and-medicare-face-financial-challenges")</f>
        <v>https://www.examplebusiness.com/blog/social-security-and-medicare-face-financial-challenges</v>
      </c>
      <c r="B374" s="34">
        <v>4</v>
      </c>
      <c r="C374" s="34">
        <v>0</v>
      </c>
      <c r="D374" s="34">
        <v>0</v>
      </c>
      <c r="E374" s="34">
        <v>0</v>
      </c>
      <c r="F374" s="34">
        <v>200</v>
      </c>
      <c r="G374" s="34">
        <v>3</v>
      </c>
      <c r="H374" s="34"/>
      <c r="I374" s="34">
        <v>0</v>
      </c>
      <c r="J374" s="34">
        <v>1</v>
      </c>
      <c r="K374" s="107">
        <v>0</v>
      </c>
      <c r="L374" s="34">
        <v>24</v>
      </c>
    </row>
    <row r="375" spans="1:12" ht="16.5" x14ac:dyDescent="0.35">
      <c r="A375" s="106" t="str">
        <f>HYPERLINK("https://www.examplebusiness.com/resource-center/investment/dont-be-your-own-worst-enemy","https://www.examplebusiness.com/resource-center/investment/dont-be-your-own-worst-enemy")</f>
        <v>https://www.examplebusiness.com/resource-center/investment/dont-be-your-own-worst-enemy</v>
      </c>
      <c r="B375" s="34">
        <v>4</v>
      </c>
      <c r="C375" s="34">
        <v>0</v>
      </c>
      <c r="D375" s="34">
        <v>0</v>
      </c>
      <c r="E375" s="34">
        <v>0</v>
      </c>
      <c r="F375" s="34">
        <v>200</v>
      </c>
      <c r="G375" s="34">
        <v>0</v>
      </c>
      <c r="H375" s="34"/>
      <c r="I375" s="34" t="s">
        <v>1561</v>
      </c>
      <c r="J375" s="34" t="s">
        <v>1561</v>
      </c>
      <c r="K375" s="107" t="s">
        <v>1561</v>
      </c>
      <c r="L375" s="34" t="s">
        <v>1561</v>
      </c>
    </row>
    <row r="376" spans="1:12" ht="16.5" x14ac:dyDescent="0.35">
      <c r="A376" s="106" t="str">
        <f>HYPERLINK("https://www.examplebusiness.com/resource-center/retirement/retirement-traps-to-avoid","https://www.examplebusiness.com/resource-center/retirement/retirement-traps-to-avoid")</f>
        <v>https://www.examplebusiness.com/resource-center/retirement/retirement-traps-to-avoid</v>
      </c>
      <c r="B376" s="34">
        <v>4</v>
      </c>
      <c r="C376" s="34">
        <v>0</v>
      </c>
      <c r="D376" s="34">
        <v>0</v>
      </c>
      <c r="E376" s="34">
        <v>0</v>
      </c>
      <c r="F376" s="34">
        <v>200</v>
      </c>
      <c r="G376" s="34">
        <v>0</v>
      </c>
      <c r="H376" s="34"/>
      <c r="I376" s="34" t="s">
        <v>1561</v>
      </c>
      <c r="J376" s="34" t="s">
        <v>1561</v>
      </c>
      <c r="K376" s="107" t="s">
        <v>1561</v>
      </c>
      <c r="L376" s="34" t="s">
        <v>1561</v>
      </c>
    </row>
    <row r="377" spans="1:12" ht="16.5" x14ac:dyDescent="0.35">
      <c r="A377" s="106" t="str">
        <f>HYPERLINK("https://www.examplebusiness.com/resource-center/investment/contributing-to-an-ira","https://www.examplebusiness.com/resource-center/investment/contributing-to-an-ira")</f>
        <v>https://www.examplebusiness.com/resource-center/investment/contributing-to-an-ira</v>
      </c>
      <c r="B377" s="34">
        <v>4</v>
      </c>
      <c r="C377" s="34">
        <v>0</v>
      </c>
      <c r="D377" s="34">
        <v>0</v>
      </c>
      <c r="E377" s="34">
        <v>0</v>
      </c>
      <c r="F377" s="34">
        <v>200</v>
      </c>
      <c r="G377" s="34">
        <v>0</v>
      </c>
      <c r="H377" s="34"/>
      <c r="I377" s="34">
        <v>0</v>
      </c>
      <c r="J377" s="34">
        <v>1</v>
      </c>
      <c r="K377" s="107">
        <v>0</v>
      </c>
      <c r="L377" s="34">
        <v>21</v>
      </c>
    </row>
    <row r="378" spans="1:12" ht="16.5" x14ac:dyDescent="0.35">
      <c r="A378" s="106" t="str">
        <f>HYPERLINK("https://www.examplebusiness.com/resource-center/lifestyle/do-your-kids-know-the-value-of-a-silver-spoon","https://www.examplebusiness.com/resource-center/lifestyle/do-your-kids-know-the-value-of-a-silver-spoon")</f>
        <v>https://www.examplebusiness.com/resource-center/lifestyle/do-your-kids-know-the-value-of-a-silver-spoon</v>
      </c>
      <c r="B378" s="34">
        <v>4</v>
      </c>
      <c r="C378" s="34">
        <v>0</v>
      </c>
      <c r="D378" s="34">
        <v>0</v>
      </c>
      <c r="E378" s="34">
        <v>0</v>
      </c>
      <c r="F378" s="34">
        <v>200</v>
      </c>
      <c r="G378" s="34">
        <v>0</v>
      </c>
      <c r="H378" s="34"/>
      <c r="I378" s="34">
        <v>0</v>
      </c>
      <c r="J378" s="34">
        <v>1</v>
      </c>
      <c r="K378" s="107">
        <v>0</v>
      </c>
      <c r="L378" s="34">
        <v>24</v>
      </c>
    </row>
    <row r="379" spans="1:12" ht="16.5" x14ac:dyDescent="0.35">
      <c r="A379" s="106" t="str">
        <f>HYPERLINK("https://www.examplebusiness.com/resource-center/investment/pullbacks-corrections-and-bear-markets","https://www.examplebusiness.com/resource-center/investment/pullbacks-corrections-and-bear-markets")</f>
        <v>https://www.examplebusiness.com/resource-center/investment/pullbacks-corrections-and-bear-markets</v>
      </c>
      <c r="B379" s="34">
        <v>4</v>
      </c>
      <c r="C379" s="34">
        <v>0</v>
      </c>
      <c r="D379" s="34">
        <v>0</v>
      </c>
      <c r="E379" s="34">
        <v>0</v>
      </c>
      <c r="F379" s="34">
        <v>200</v>
      </c>
      <c r="G379" s="34">
        <v>0</v>
      </c>
      <c r="H379" s="34"/>
      <c r="I379" s="34">
        <v>0</v>
      </c>
      <c r="J379" s="34">
        <v>1</v>
      </c>
      <c r="K379" s="107">
        <v>0</v>
      </c>
      <c r="L379" s="34">
        <v>6</v>
      </c>
    </row>
    <row r="380" spans="1:12" ht="16.5" x14ac:dyDescent="0.35">
      <c r="A380" s="106" t="str">
        <f>HYPERLINK("https://www.examplebusiness.com/resource-center/estate/planning-for-special-needs-children","https://www.examplebusiness.com/resource-center/estate/planning-for-special-needs-children")</f>
        <v>https://www.examplebusiness.com/resource-center/estate/planning-for-special-needs-children</v>
      </c>
      <c r="B380" s="34">
        <v>4</v>
      </c>
      <c r="C380" s="34">
        <v>0</v>
      </c>
      <c r="D380" s="34">
        <v>0</v>
      </c>
      <c r="E380" s="34">
        <v>0</v>
      </c>
      <c r="F380" s="34">
        <v>200</v>
      </c>
      <c r="G380" s="34">
        <v>0</v>
      </c>
      <c r="H380" s="34"/>
      <c r="I380" s="34" t="s">
        <v>1561</v>
      </c>
      <c r="J380" s="34" t="s">
        <v>1561</v>
      </c>
      <c r="K380" s="107" t="s">
        <v>1561</v>
      </c>
      <c r="L380" s="34" t="s">
        <v>1561</v>
      </c>
    </row>
    <row r="381" spans="1:12" ht="16.5" x14ac:dyDescent="0.35">
      <c r="A381" s="106" t="str">
        <f>HYPERLINK("https://www.examplebusiness.com/resource-center/investment/from-boats-to-brokers-a-history-of-the-stock-market","https://www.examplebusiness.com/resource-center/investment/from-boats-to-brokers-a-history-of-the-stock-market")</f>
        <v>https://www.examplebusiness.com/resource-center/investment/from-boats-to-brokers-a-history-of-the-stock-market</v>
      </c>
      <c r="B381" s="34">
        <v>4</v>
      </c>
      <c r="C381" s="34">
        <v>0</v>
      </c>
      <c r="D381" s="34">
        <v>0</v>
      </c>
      <c r="E381" s="34">
        <v>0</v>
      </c>
      <c r="F381" s="34">
        <v>200</v>
      </c>
      <c r="G381" s="34">
        <v>0</v>
      </c>
      <c r="H381" s="34"/>
      <c r="I381" s="34" t="s">
        <v>1561</v>
      </c>
      <c r="J381" s="34" t="s">
        <v>1561</v>
      </c>
      <c r="K381" s="107" t="s">
        <v>1561</v>
      </c>
      <c r="L381" s="34" t="s">
        <v>1561</v>
      </c>
    </row>
    <row r="382" spans="1:12" ht="16.5" x14ac:dyDescent="0.35">
      <c r="A382" s="106" t="str">
        <f>HYPERLINK("https://www.examplebusiness.com/resource-center/lifestyle/financial-aid-for-students-101","https://www.examplebusiness.com/resource-center/lifestyle/financial-aid-for-students-101")</f>
        <v>https://www.examplebusiness.com/resource-center/lifestyle/financial-aid-for-students-101</v>
      </c>
      <c r="B382" s="34">
        <v>4</v>
      </c>
      <c r="C382" s="34">
        <v>0</v>
      </c>
      <c r="D382" s="34">
        <v>0</v>
      </c>
      <c r="E382" s="34">
        <v>0</v>
      </c>
      <c r="F382" s="34">
        <v>200</v>
      </c>
      <c r="G382" s="34">
        <v>0</v>
      </c>
      <c r="H382" s="34"/>
      <c r="I382" s="34" t="s">
        <v>1561</v>
      </c>
      <c r="J382" s="34" t="s">
        <v>1561</v>
      </c>
      <c r="K382" s="107" t="s">
        <v>1561</v>
      </c>
      <c r="L382" s="34" t="s">
        <v>1561</v>
      </c>
    </row>
    <row r="383" spans="1:12" ht="16.5" x14ac:dyDescent="0.35">
      <c r="A383" s="106" t="str">
        <f>HYPERLINK("https://www.examplebusiness.com/resource-center/retirement/maximizing-your-social-security-benefits","https://www.examplebusiness.com/resource-center/retirement/maximizing-your-social-security-benefits")</f>
        <v>https://www.examplebusiness.com/resource-center/retirement/maximizing-your-social-security-benefits</v>
      </c>
      <c r="B383" s="34">
        <v>4</v>
      </c>
      <c r="C383" s="34">
        <v>0</v>
      </c>
      <c r="D383" s="34">
        <v>0</v>
      </c>
      <c r="E383" s="34">
        <v>0</v>
      </c>
      <c r="F383" s="34">
        <v>200</v>
      </c>
      <c r="G383" s="34">
        <v>0</v>
      </c>
      <c r="H383" s="34"/>
      <c r="I383" s="34" t="s">
        <v>1561</v>
      </c>
      <c r="J383" s="34" t="s">
        <v>1561</v>
      </c>
      <c r="K383" s="107" t="s">
        <v>1561</v>
      </c>
      <c r="L383" s="34" t="s">
        <v>1561</v>
      </c>
    </row>
    <row r="384" spans="1:12" ht="16.5" x14ac:dyDescent="0.35">
      <c r="A384" s="106" t="str">
        <f>HYPERLINK("https://www.examplebusiness.com/resource-center/estate/whats-my-potential-estate-tax","https://www.examplebusiness.com/resource-center/estate/whats-my-potential-estate-tax")</f>
        <v>https://www.examplebusiness.com/resource-center/estate/whats-my-potential-estate-tax</v>
      </c>
      <c r="B384" s="34">
        <v>4</v>
      </c>
      <c r="C384" s="34">
        <v>0</v>
      </c>
      <c r="D384" s="34">
        <v>0</v>
      </c>
      <c r="E384" s="34">
        <v>0</v>
      </c>
      <c r="F384" s="34">
        <v>200</v>
      </c>
      <c r="G384" s="34">
        <v>0</v>
      </c>
      <c r="H384" s="34"/>
      <c r="I384" s="34" t="s">
        <v>1561</v>
      </c>
      <c r="J384" s="34" t="s">
        <v>1561</v>
      </c>
      <c r="K384" s="107" t="s">
        <v>1561</v>
      </c>
      <c r="L384" s="34" t="s">
        <v>1561</v>
      </c>
    </row>
    <row r="385" spans="1:12" ht="16.5" x14ac:dyDescent="0.35">
      <c r="A385" s="106" t="str">
        <f>HYPERLINK("https://www.examplebusiness.com/resource-center/insurance/universal-life-insurance","https://www.examplebusiness.com/resource-center/insurance/universal-life-insurance")</f>
        <v>https://www.examplebusiness.com/resource-center/insurance/universal-life-insurance</v>
      </c>
      <c r="B385" s="34">
        <v>4</v>
      </c>
      <c r="C385" s="34">
        <v>0</v>
      </c>
      <c r="D385" s="34">
        <v>0</v>
      </c>
      <c r="E385" s="34">
        <v>0</v>
      </c>
      <c r="F385" s="34">
        <v>200</v>
      </c>
      <c r="G385" s="34">
        <v>0</v>
      </c>
      <c r="H385" s="34"/>
      <c r="I385" s="34" t="s">
        <v>1561</v>
      </c>
      <c r="J385" s="34" t="s">
        <v>1561</v>
      </c>
      <c r="K385" s="107" t="s">
        <v>1561</v>
      </c>
      <c r="L385" s="34" t="s">
        <v>1561</v>
      </c>
    </row>
    <row r="386" spans="1:12" ht="16.5" x14ac:dyDescent="0.35">
      <c r="A386" s="106" t="str">
        <f>HYPERLINK("https://www.examplebusiness.com/resource-center/estate/estate-building-block-understanding-the-alternate-valuation-date","https://www.examplebusiness.com/resource-center/estate/estate-building-block-understanding-the-alternate-valuation-date")</f>
        <v>https://www.examplebusiness.com/resource-center/estate/estate-building-block-understanding-the-alternate-valuation-date</v>
      </c>
      <c r="B386" s="34">
        <v>4</v>
      </c>
      <c r="C386" s="34">
        <v>0</v>
      </c>
      <c r="D386" s="34">
        <v>0</v>
      </c>
      <c r="E386" s="34">
        <v>0</v>
      </c>
      <c r="F386" s="34">
        <v>200</v>
      </c>
      <c r="G386" s="34">
        <v>0</v>
      </c>
      <c r="H386" s="34"/>
      <c r="I386" s="34" t="s">
        <v>1561</v>
      </c>
      <c r="J386" s="34" t="s">
        <v>1561</v>
      </c>
      <c r="K386" s="107" t="s">
        <v>1561</v>
      </c>
      <c r="L386" s="34" t="s">
        <v>1561</v>
      </c>
    </row>
    <row r="387" spans="1:12" ht="16.5" x14ac:dyDescent="0.35">
      <c r="A387" s="106" t="str">
        <f>HYPERLINK("https://www.examplebusiness.com/blog/how-to-protect-your-wealth-as-you-get-older","https://www.examplebusiness.com/blog/how-to-protect-your-wealth-as-you-get-older")</f>
        <v>https://www.examplebusiness.com/blog/how-to-protect-your-wealth-as-you-get-older</v>
      </c>
      <c r="B387" s="34">
        <v>4</v>
      </c>
      <c r="C387" s="34">
        <v>0</v>
      </c>
      <c r="D387" s="34">
        <v>0</v>
      </c>
      <c r="E387" s="34">
        <v>0</v>
      </c>
      <c r="F387" s="34">
        <v>200</v>
      </c>
      <c r="G387" s="34">
        <v>0</v>
      </c>
      <c r="H387" s="34"/>
      <c r="I387" s="34">
        <v>0</v>
      </c>
      <c r="J387" s="34">
        <v>8</v>
      </c>
      <c r="K387" s="107">
        <v>0</v>
      </c>
      <c r="L387" s="34">
        <v>67.88</v>
      </c>
    </row>
    <row r="388" spans="1:12" ht="16.5" x14ac:dyDescent="0.35">
      <c r="A388" s="106" t="str">
        <f>HYPERLINK("https://www.examplebusiness.com/blog/what-you-need-to-file-your-taxes","https://www.examplebusiness.com/blog/what-you-need-to-file-your-taxes")</f>
        <v>https://www.examplebusiness.com/blog/what-you-need-to-file-your-taxes</v>
      </c>
      <c r="B388" s="34">
        <v>4</v>
      </c>
      <c r="C388" s="34">
        <v>0</v>
      </c>
      <c r="D388" s="34">
        <v>0</v>
      </c>
      <c r="E388" s="34">
        <v>0</v>
      </c>
      <c r="F388" s="34">
        <v>200</v>
      </c>
      <c r="G388" s="34">
        <v>0</v>
      </c>
      <c r="H388" s="34"/>
      <c r="I388" s="34">
        <v>0</v>
      </c>
      <c r="J388" s="34">
        <v>7</v>
      </c>
      <c r="K388" s="107">
        <v>0</v>
      </c>
      <c r="L388" s="34">
        <v>4.57</v>
      </c>
    </row>
    <row r="389" spans="1:12" ht="16.5" x14ac:dyDescent="0.35">
      <c r="A389" s="106" t="str">
        <f>HYPERLINK("https://www.examplebusiness.com/resource-center/lifestyle/lots-of-variables-with-fixed-rate-mortgages","https://www.examplebusiness.com/resource-center/lifestyle/lots-of-variables-with-fixed-rate-mortgages")</f>
        <v>https://www.examplebusiness.com/resource-center/lifestyle/lots-of-variables-with-fixed-rate-mortgages</v>
      </c>
      <c r="B389" s="34">
        <v>4</v>
      </c>
      <c r="C389" s="34">
        <v>0</v>
      </c>
      <c r="D389" s="34">
        <v>0</v>
      </c>
      <c r="E389" s="34">
        <v>0</v>
      </c>
      <c r="F389" s="34">
        <v>200</v>
      </c>
      <c r="G389" s="34">
        <v>0</v>
      </c>
      <c r="H389" s="34"/>
      <c r="I389" s="34" t="s">
        <v>1561</v>
      </c>
      <c r="J389" s="34" t="s">
        <v>1561</v>
      </c>
      <c r="K389" s="107" t="s">
        <v>1561</v>
      </c>
      <c r="L389" s="34" t="s">
        <v>1561</v>
      </c>
    </row>
    <row r="390" spans="1:12" ht="16.5" x14ac:dyDescent="0.35">
      <c r="A390" s="106" t="str">
        <f>HYPERLINK("https://www.examplebusiness.com/resource-center/lifestyle/the-richest-man-in-babylon","https://www.examplebusiness.com/resource-center/lifestyle/the-richest-man-in-babylon")</f>
        <v>https://www.examplebusiness.com/resource-center/lifestyle/the-richest-man-in-babylon</v>
      </c>
      <c r="B390" s="34">
        <v>4</v>
      </c>
      <c r="C390" s="34">
        <v>0</v>
      </c>
      <c r="D390" s="34">
        <v>0</v>
      </c>
      <c r="E390" s="34">
        <v>0</v>
      </c>
      <c r="F390" s="34">
        <v>200</v>
      </c>
      <c r="G390" s="34">
        <v>0</v>
      </c>
      <c r="H390" s="34"/>
      <c r="I390" s="34">
        <v>0</v>
      </c>
      <c r="J390" s="34">
        <v>6</v>
      </c>
      <c r="K390" s="107">
        <v>0</v>
      </c>
      <c r="L390" s="34">
        <v>10.17</v>
      </c>
    </row>
    <row r="391" spans="1:12" ht="16.5" x14ac:dyDescent="0.35">
      <c r="A391" s="106" t="str">
        <f>HYPERLINK("https://www.examplebusiness.com/resource-center/insurance/understanding-long-term-care","https://www.examplebusiness.com/resource-center/insurance/understanding-long-term-care")</f>
        <v>https://www.examplebusiness.com/resource-center/insurance/understanding-long-term-care</v>
      </c>
      <c r="B391" s="34">
        <v>4</v>
      </c>
      <c r="C391" s="34">
        <v>0</v>
      </c>
      <c r="D391" s="34">
        <v>0</v>
      </c>
      <c r="E391" s="34">
        <v>0</v>
      </c>
      <c r="F391" s="34">
        <v>200</v>
      </c>
      <c r="G391" s="34">
        <v>0</v>
      </c>
      <c r="H391" s="34"/>
      <c r="I391" s="34" t="s">
        <v>1561</v>
      </c>
      <c r="J391" s="34" t="s">
        <v>1561</v>
      </c>
      <c r="K391" s="107" t="s">
        <v>1561</v>
      </c>
      <c r="L391" s="34" t="s">
        <v>1561</v>
      </c>
    </row>
    <row r="392" spans="1:12" ht="16.5" x14ac:dyDescent="0.35">
      <c r="A392" s="106" t="str">
        <f>HYPERLINK("https://www.examplebusiness.com/resource-center/investment/the-abcs-of-zero-coupon-bonds","https://www.examplebusiness.com/resource-center/investment/the-abcs-of-zero-coupon-bonds")</f>
        <v>https://www.examplebusiness.com/resource-center/investment/the-abcs-of-zero-coupon-bonds</v>
      </c>
      <c r="B392" s="34">
        <v>4</v>
      </c>
      <c r="C392" s="34">
        <v>0</v>
      </c>
      <c r="D392" s="34">
        <v>0</v>
      </c>
      <c r="E392" s="34">
        <v>0</v>
      </c>
      <c r="F392" s="34">
        <v>200</v>
      </c>
      <c r="G392" s="34">
        <v>0</v>
      </c>
      <c r="H392" s="34"/>
      <c r="I392" s="34" t="s">
        <v>1561</v>
      </c>
      <c r="J392" s="34" t="s">
        <v>1561</v>
      </c>
      <c r="K392" s="107" t="s">
        <v>1561</v>
      </c>
      <c r="L392" s="34" t="s">
        <v>1561</v>
      </c>
    </row>
    <row r="393" spans="1:12" ht="16.5" x14ac:dyDescent="0.35">
      <c r="A393" s="106" t="str">
        <f>HYPERLINK("https://www.examplebusiness.com/resource-center/insurance/understanding-homeowners-insurance","https://www.examplebusiness.com/resource-center/insurance/understanding-homeowners-insurance")</f>
        <v>https://www.examplebusiness.com/resource-center/insurance/understanding-homeowners-insurance</v>
      </c>
      <c r="B393" s="34">
        <v>4</v>
      </c>
      <c r="C393" s="34">
        <v>0</v>
      </c>
      <c r="D393" s="34">
        <v>0</v>
      </c>
      <c r="E393" s="34">
        <v>0</v>
      </c>
      <c r="F393" s="34">
        <v>200</v>
      </c>
      <c r="G393" s="34">
        <v>0</v>
      </c>
      <c r="H393" s="34"/>
      <c r="I393" s="34" t="s">
        <v>1561</v>
      </c>
      <c r="J393" s="34" t="s">
        <v>1561</v>
      </c>
      <c r="K393" s="107" t="s">
        <v>1561</v>
      </c>
      <c r="L393" s="34" t="s">
        <v>1561</v>
      </c>
    </row>
    <row r="394" spans="1:12" ht="16.5" x14ac:dyDescent="0.35">
      <c r="A394" s="106" t="str">
        <f>HYPERLINK("https://www.examplebusiness.com/resource-center/retirement/a-fruitful-retirement-social-security-benefit","https://www.examplebusiness.com/resource-center/retirement/a-fruitful-retirement-social-security-benefit")</f>
        <v>https://www.examplebusiness.com/resource-center/retirement/a-fruitful-retirement-social-security-benefit</v>
      </c>
      <c r="B394" s="34">
        <v>4</v>
      </c>
      <c r="C394" s="34">
        <v>0</v>
      </c>
      <c r="D394" s="34">
        <v>0</v>
      </c>
      <c r="E394" s="34">
        <v>0</v>
      </c>
      <c r="F394" s="34">
        <v>200</v>
      </c>
      <c r="G394" s="34">
        <v>0</v>
      </c>
      <c r="H394" s="34"/>
      <c r="I394" s="34" t="s">
        <v>1561</v>
      </c>
      <c r="J394" s="34" t="s">
        <v>1561</v>
      </c>
      <c r="K394" s="107" t="s">
        <v>1561</v>
      </c>
      <c r="L394" s="34" t="s">
        <v>1561</v>
      </c>
    </row>
    <row r="395" spans="1:12" ht="16.5" x14ac:dyDescent="0.35">
      <c r="A395" s="106" t="str">
        <f>HYPERLINK("https://www.examplebusiness.com/blog/getting-started-establishing-a-financial-safety-net","https://www.examplebusiness.com/blog/getting-started-establishing-a-financial-safety-net")</f>
        <v>https://www.examplebusiness.com/blog/getting-started-establishing-a-financial-safety-net</v>
      </c>
      <c r="B395" s="34">
        <v>4</v>
      </c>
      <c r="C395" s="34">
        <v>0</v>
      </c>
      <c r="D395" s="34">
        <v>0</v>
      </c>
      <c r="E395" s="34">
        <v>0</v>
      </c>
      <c r="F395" s="34">
        <v>200</v>
      </c>
      <c r="G395" s="34">
        <v>0</v>
      </c>
      <c r="H395" s="34"/>
      <c r="I395" s="34">
        <v>0</v>
      </c>
      <c r="J395" s="34">
        <v>1</v>
      </c>
      <c r="K395" s="107">
        <v>0</v>
      </c>
      <c r="L395" s="34">
        <v>80</v>
      </c>
    </row>
    <row r="396" spans="1:12" ht="16.5" x14ac:dyDescent="0.35">
      <c r="A396" s="106" t="str">
        <f>HYPERLINK("https://www.examplebusiness.com/blog/abc-financial-acquires-true-north-capital-alliance","https://www.examplebusiness.com/blog/abc-financial-acquires-true-north-capital-alliance")</f>
        <v>https://www.examplebusiness.com/blog/abc-financial-acquires-true-north-capital-alliance</v>
      </c>
      <c r="B396" s="34">
        <v>4</v>
      </c>
      <c r="C396" s="34">
        <v>0</v>
      </c>
      <c r="D396" s="34">
        <v>0</v>
      </c>
      <c r="E396" s="34">
        <v>0</v>
      </c>
      <c r="F396" s="34">
        <v>200</v>
      </c>
      <c r="G396" s="34">
        <v>0</v>
      </c>
      <c r="H396" s="34"/>
      <c r="I396" s="34">
        <v>0</v>
      </c>
      <c r="J396" s="34">
        <v>3</v>
      </c>
      <c r="K396" s="107">
        <v>0</v>
      </c>
      <c r="L396" s="34">
        <v>36</v>
      </c>
    </row>
    <row r="397" spans="1:12" ht="16.5" x14ac:dyDescent="0.35">
      <c r="A397" s="106" t="str">
        <f>HYPERLINK("https://www.examplebusiness.com/resource-center/retirement/retirement-income-and-the-traditional-portfolio","https://www.examplebusiness.com/resource-center/retirement/retirement-income-and-the-traditional-portfolio")</f>
        <v>https://www.examplebusiness.com/resource-center/retirement/retirement-income-and-the-traditional-portfolio</v>
      </c>
      <c r="B397" s="34">
        <v>4</v>
      </c>
      <c r="C397" s="34">
        <v>0</v>
      </c>
      <c r="D397" s="34">
        <v>0</v>
      </c>
      <c r="E397" s="34">
        <v>0</v>
      </c>
      <c r="F397" s="34">
        <v>200</v>
      </c>
      <c r="G397" s="34">
        <v>0</v>
      </c>
      <c r="H397" s="34"/>
      <c r="I397" s="34" t="s">
        <v>1561</v>
      </c>
      <c r="J397" s="34" t="s">
        <v>1561</v>
      </c>
      <c r="K397" s="107" t="s">
        <v>1561</v>
      </c>
      <c r="L397" s="34" t="s">
        <v>1561</v>
      </c>
    </row>
    <row r="398" spans="1:12" ht="16.5" x14ac:dyDescent="0.35">
      <c r="A398" s="106" t="str">
        <f>HYPERLINK("https://www.examplebusiness.com/resource-center/lifestyle/creative-ways-to-motivate-your-employees","https://www.examplebusiness.com/resource-center/lifestyle/creative-ways-to-motivate-your-employees")</f>
        <v>https://www.examplebusiness.com/resource-center/lifestyle/creative-ways-to-motivate-your-employees</v>
      </c>
      <c r="B398" s="34">
        <v>4</v>
      </c>
      <c r="C398" s="34">
        <v>0</v>
      </c>
      <c r="D398" s="34">
        <v>0</v>
      </c>
      <c r="E398" s="34">
        <v>0</v>
      </c>
      <c r="F398" s="34">
        <v>200</v>
      </c>
      <c r="G398" s="34">
        <v>0</v>
      </c>
      <c r="H398" s="34"/>
      <c r="I398" s="34" t="s">
        <v>1561</v>
      </c>
      <c r="J398" s="34" t="s">
        <v>1561</v>
      </c>
      <c r="K398" s="107" t="s">
        <v>1561</v>
      </c>
      <c r="L398" s="34" t="s">
        <v>1561</v>
      </c>
    </row>
    <row r="399" spans="1:12" ht="16.5" x14ac:dyDescent="0.35">
      <c r="A399" s="106" t="str">
        <f>HYPERLINK("https://www.examplebusiness.com/resource-center/tax/what-if-you-get-audited","https://www.examplebusiness.com/resource-center/tax/what-if-you-get-audited")</f>
        <v>https://www.examplebusiness.com/resource-center/tax/what-if-you-get-audited</v>
      </c>
      <c r="B399" s="34">
        <v>4</v>
      </c>
      <c r="C399" s="34">
        <v>0</v>
      </c>
      <c r="D399" s="34">
        <v>0</v>
      </c>
      <c r="E399" s="34">
        <v>0</v>
      </c>
      <c r="F399" s="34">
        <v>200</v>
      </c>
      <c r="G399" s="34">
        <v>0</v>
      </c>
      <c r="H399" s="34"/>
      <c r="I399" s="34" t="s">
        <v>1561</v>
      </c>
      <c r="J399" s="34" t="s">
        <v>1561</v>
      </c>
      <c r="K399" s="107" t="s">
        <v>1561</v>
      </c>
      <c r="L399" s="34" t="s">
        <v>1561</v>
      </c>
    </row>
    <row r="400" spans="1:12" ht="16.5" x14ac:dyDescent="0.35">
      <c r="A400" s="106" t="str">
        <f>HYPERLINK("https://www.examplebusiness.com/team/emily-moore","https://www.examplebusiness.com/team/emily-moore")</f>
        <v>https://www.examplebusiness.com/team/emily-moore</v>
      </c>
      <c r="B400" s="34">
        <v>4</v>
      </c>
      <c r="C400" s="34">
        <v>0</v>
      </c>
      <c r="D400" s="34">
        <v>0</v>
      </c>
      <c r="E400" s="34">
        <v>0</v>
      </c>
      <c r="F400" s="34">
        <v>200</v>
      </c>
      <c r="G400" s="34">
        <v>0</v>
      </c>
      <c r="H400" s="34"/>
      <c r="I400" s="34" t="s">
        <v>1561</v>
      </c>
      <c r="J400" s="34" t="s">
        <v>1561</v>
      </c>
      <c r="K400" s="107" t="s">
        <v>1561</v>
      </c>
      <c r="L400" s="34" t="s">
        <v>1561</v>
      </c>
    </row>
    <row r="401" spans="1:12" ht="16.5" x14ac:dyDescent="0.35">
      <c r="A401" s="106" t="str">
        <f>HYPERLINK("https://www.examplebusiness.com/blog/pulse-check-should-you-ignore-the-economic-data-and-pullback-odds-are-incr","https://www.examplebusiness.com/blog/pulse-check-should-you-ignore-the-economic-data-and-pullback-odds-are-incr")</f>
        <v>https://www.examplebusiness.com/blog/pulse-check-should-you-ignore-the-economic-data-and-pullback-odds-are-incr</v>
      </c>
      <c r="B401" s="34">
        <v>4</v>
      </c>
      <c r="C401" s="34">
        <v>0</v>
      </c>
      <c r="D401" s="34">
        <v>0</v>
      </c>
      <c r="E401" s="34">
        <v>0</v>
      </c>
      <c r="F401" s="34">
        <v>200</v>
      </c>
      <c r="G401" s="34">
        <v>0</v>
      </c>
      <c r="H401" s="34"/>
      <c r="I401" s="34" t="s">
        <v>1561</v>
      </c>
      <c r="J401" s="34" t="s">
        <v>1561</v>
      </c>
      <c r="K401" s="107" t="s">
        <v>1561</v>
      </c>
      <c r="L401" s="34" t="s">
        <v>1561</v>
      </c>
    </row>
    <row r="402" spans="1:12" ht="16.5" x14ac:dyDescent="0.35">
      <c r="A402" s="106" t="str">
        <f>HYPERLINK("https://www.examplebusiness.com/blog/tax-planning-for-business-owners","https://www.examplebusiness.com/blog/tax-planning-for-business-owners")</f>
        <v>https://www.examplebusiness.com/blog/tax-planning-for-business-owners</v>
      </c>
      <c r="B402" s="34">
        <v>4</v>
      </c>
      <c r="C402" s="34">
        <v>0</v>
      </c>
      <c r="D402" s="34">
        <v>0</v>
      </c>
      <c r="E402" s="34">
        <v>0</v>
      </c>
      <c r="F402" s="34">
        <v>200</v>
      </c>
      <c r="G402" s="34">
        <v>0</v>
      </c>
      <c r="H402" s="34"/>
      <c r="I402" s="34" t="s">
        <v>1561</v>
      </c>
      <c r="J402" s="34" t="s">
        <v>1561</v>
      </c>
      <c r="K402" s="107" t="s">
        <v>1561</v>
      </c>
      <c r="L402" s="34" t="s">
        <v>1561</v>
      </c>
    </row>
    <row r="403" spans="1:12" ht="16.5" x14ac:dyDescent="0.35">
      <c r="A403" s="106" t="str">
        <f>HYPERLINK("https://www.examplebusiness.com/resource-center/insurance/keeping-summer-safe-pool-and-spa-safety-tips-1","https://www.examplebusiness.com/resource-center/insurance/keeping-summer-safe-pool-and-spa-safety-tips-1")</f>
        <v>https://www.examplebusiness.com/resource-center/insurance/keeping-summer-safe-pool-and-spa-safety-tips-1</v>
      </c>
      <c r="B403" s="34">
        <v>4</v>
      </c>
      <c r="C403" s="34">
        <v>0</v>
      </c>
      <c r="D403" s="34">
        <v>0</v>
      </c>
      <c r="E403" s="34">
        <v>0</v>
      </c>
      <c r="F403" s="34">
        <v>200</v>
      </c>
      <c r="G403" s="34">
        <v>0</v>
      </c>
      <c r="H403" s="34"/>
      <c r="I403" s="34">
        <v>0</v>
      </c>
      <c r="J403" s="34">
        <v>1</v>
      </c>
      <c r="K403" s="107">
        <v>0</v>
      </c>
      <c r="L403" s="34">
        <v>4</v>
      </c>
    </row>
    <row r="404" spans="1:12" ht="16.5" x14ac:dyDescent="0.35">
      <c r="A404" s="106" t="str">
        <f>HYPERLINK("https://www.examplebusiness.com/blog/is-a-depression-coming","https://www.examplebusiness.com/blog/is-a-depression-coming")</f>
        <v>https://www.examplebusiness.com/blog/is-a-depression-coming</v>
      </c>
      <c r="B404" s="34">
        <v>4</v>
      </c>
      <c r="C404" s="34">
        <v>0</v>
      </c>
      <c r="D404" s="34">
        <v>0</v>
      </c>
      <c r="E404" s="34">
        <v>0</v>
      </c>
      <c r="F404" s="34">
        <v>200</v>
      </c>
      <c r="G404" s="34">
        <v>0</v>
      </c>
      <c r="H404" s="34"/>
      <c r="I404" s="34">
        <v>0</v>
      </c>
      <c r="J404" s="34">
        <v>5</v>
      </c>
      <c r="K404" s="107">
        <v>0</v>
      </c>
      <c r="L404" s="34">
        <v>68.2</v>
      </c>
    </row>
    <row r="405" spans="1:12" ht="16.5" x14ac:dyDescent="0.35">
      <c r="A405" s="106" t="str">
        <f>HYPERLINK("https://www.examplebusiness.com/resource-center/money/paying-off-a-credit-card","https://www.examplebusiness.com/resource-center/money/paying-off-a-credit-card")</f>
        <v>https://www.examplebusiness.com/resource-center/money/paying-off-a-credit-card</v>
      </c>
      <c r="B405" s="34">
        <v>4</v>
      </c>
      <c r="C405" s="34">
        <v>0</v>
      </c>
      <c r="D405" s="34">
        <v>0</v>
      </c>
      <c r="E405" s="34">
        <v>0</v>
      </c>
      <c r="F405" s="34">
        <v>200</v>
      </c>
      <c r="G405" s="34">
        <v>0</v>
      </c>
      <c r="H405" s="34"/>
      <c r="I405" s="34">
        <v>0</v>
      </c>
      <c r="J405" s="34">
        <v>1</v>
      </c>
      <c r="K405" s="107">
        <v>0</v>
      </c>
      <c r="L405" s="34">
        <v>89</v>
      </c>
    </row>
    <row r="406" spans="1:12" ht="16.5" x14ac:dyDescent="0.35">
      <c r="A406" s="106" t="str">
        <f>HYPERLINK("https://www.examplebusiness.com/blog/end-of-year-planning-set-goals-and-reduce-taxes","https://www.examplebusiness.com/blog/end-of-year-planning-set-goals-and-reduce-taxes")</f>
        <v>https://www.examplebusiness.com/blog/end-of-year-planning-set-goals-and-reduce-taxes</v>
      </c>
      <c r="B406" s="34">
        <v>4</v>
      </c>
      <c r="C406" s="34">
        <v>0</v>
      </c>
      <c r="D406" s="34">
        <v>0</v>
      </c>
      <c r="E406" s="34">
        <v>0</v>
      </c>
      <c r="F406" s="34">
        <v>200</v>
      </c>
      <c r="G406" s="34">
        <v>0</v>
      </c>
      <c r="H406" s="34"/>
      <c r="I406" s="34">
        <v>0</v>
      </c>
      <c r="J406" s="34">
        <v>1</v>
      </c>
      <c r="K406" s="107">
        <v>0</v>
      </c>
      <c r="L406" s="34">
        <v>12</v>
      </c>
    </row>
    <row r="407" spans="1:12" ht="16.5" x14ac:dyDescent="0.35">
      <c r="A407" s="106" t="str">
        <f>HYPERLINK("https://www.examplebusiness.com/resource-center/retirement/where-will-your-retirement-money-come-from","https://www.examplebusiness.com/resource-center/retirement/where-will-your-retirement-money-come-from")</f>
        <v>https://www.examplebusiness.com/resource-center/retirement/where-will-your-retirement-money-come-from</v>
      </c>
      <c r="B407" s="34">
        <v>4</v>
      </c>
      <c r="C407" s="34">
        <v>0</v>
      </c>
      <c r="D407" s="34">
        <v>0</v>
      </c>
      <c r="E407" s="34">
        <v>0</v>
      </c>
      <c r="F407" s="34">
        <v>200</v>
      </c>
      <c r="G407" s="34">
        <v>0</v>
      </c>
      <c r="H407" s="34"/>
      <c r="I407" s="34" t="s">
        <v>1561</v>
      </c>
      <c r="J407" s="34" t="s">
        <v>1561</v>
      </c>
      <c r="K407" s="107" t="s">
        <v>1561</v>
      </c>
      <c r="L407" s="34" t="s">
        <v>1561</v>
      </c>
    </row>
    <row r="408" spans="1:12" ht="16.5" x14ac:dyDescent="0.35">
      <c r="A408" s="106" t="str">
        <f>HYPERLINK("https://www.examplebusiness.com/resource-center/retirement/the-cost-of-procrastination","https://www.examplebusiness.com/resource-center/retirement/the-cost-of-procrastination")</f>
        <v>https://www.examplebusiness.com/resource-center/retirement/the-cost-of-procrastination</v>
      </c>
      <c r="B408" s="34">
        <v>4</v>
      </c>
      <c r="C408" s="34">
        <v>0</v>
      </c>
      <c r="D408" s="34">
        <v>0</v>
      </c>
      <c r="E408" s="34">
        <v>0</v>
      </c>
      <c r="F408" s="34">
        <v>200</v>
      </c>
      <c r="G408" s="34">
        <v>0</v>
      </c>
      <c r="H408" s="34"/>
      <c r="I408" s="34" t="s">
        <v>1561</v>
      </c>
      <c r="J408" s="34" t="s">
        <v>1561</v>
      </c>
      <c r="K408" s="107" t="s">
        <v>1561</v>
      </c>
      <c r="L408" s="34" t="s">
        <v>1561</v>
      </c>
    </row>
    <row r="409" spans="1:12" ht="16.5" x14ac:dyDescent="0.35">
      <c r="A409" s="106" t="str">
        <f>HYPERLINK("https://www.examplebusiness.com/blog/what-gen-xers-millennials-and-baby-boomers-need-to-know-about-financial-p","https://www.examplebusiness.com/blog/what-gen-xers-millennials-and-baby-boomers-need-to-know-about-financial-p")</f>
        <v>https://www.examplebusiness.com/blog/what-gen-xers-millennials-and-baby-boomers-need-to-know-about-financial-p</v>
      </c>
      <c r="B409" s="34">
        <v>4</v>
      </c>
      <c r="C409" s="34">
        <v>0</v>
      </c>
      <c r="D409" s="34">
        <v>0</v>
      </c>
      <c r="E409" s="34">
        <v>0</v>
      </c>
      <c r="F409" s="34">
        <v>200</v>
      </c>
      <c r="G409" s="34">
        <v>0</v>
      </c>
      <c r="H409" s="34"/>
      <c r="I409" s="34">
        <v>0</v>
      </c>
      <c r="J409" s="34">
        <v>1</v>
      </c>
      <c r="K409" s="107">
        <v>0</v>
      </c>
      <c r="L409" s="34">
        <v>3</v>
      </c>
    </row>
    <row r="410" spans="1:12" ht="16.5" x14ac:dyDescent="0.35">
      <c r="A410" s="106" t="str">
        <f>HYPERLINK("https://www.examplebusiness.com/resource-center/insurance/can-group-private-disability-policies-work-together","https://www.examplebusiness.com/resource-center/insurance/can-group-private-disability-policies-work-together")</f>
        <v>https://www.examplebusiness.com/resource-center/insurance/can-group-private-disability-policies-work-together</v>
      </c>
      <c r="B410" s="34">
        <v>4</v>
      </c>
      <c r="C410" s="34">
        <v>0</v>
      </c>
      <c r="D410" s="34">
        <v>0</v>
      </c>
      <c r="E410" s="34">
        <v>0</v>
      </c>
      <c r="F410" s="34">
        <v>200</v>
      </c>
      <c r="G410" s="34">
        <v>0</v>
      </c>
      <c r="H410" s="34"/>
      <c r="I410" s="34" t="s">
        <v>1561</v>
      </c>
      <c r="J410" s="34" t="s">
        <v>1561</v>
      </c>
      <c r="K410" s="107" t="s">
        <v>1561</v>
      </c>
      <c r="L410" s="34" t="s">
        <v>1561</v>
      </c>
    </row>
    <row r="411" spans="1:12" ht="16.5" x14ac:dyDescent="0.35">
      <c r="A411" s="106" t="str">
        <f>HYPERLINK("https://www.examplebusiness.com/resource-center/investment/global-vs-international-whats-the-difference","https://www.examplebusiness.com/resource-center/investment/global-vs-international-whats-the-difference")</f>
        <v>https://www.examplebusiness.com/resource-center/investment/global-vs-international-whats-the-difference</v>
      </c>
      <c r="B411" s="34">
        <v>4</v>
      </c>
      <c r="C411" s="34">
        <v>0</v>
      </c>
      <c r="D411" s="34">
        <v>0</v>
      </c>
      <c r="E411" s="34">
        <v>0</v>
      </c>
      <c r="F411" s="34">
        <v>200</v>
      </c>
      <c r="G411" s="34">
        <v>0</v>
      </c>
      <c r="H411" s="34"/>
      <c r="I411" s="34">
        <v>0</v>
      </c>
      <c r="J411" s="34">
        <v>1</v>
      </c>
      <c r="K411" s="107">
        <v>0</v>
      </c>
      <c r="L411" s="34">
        <v>77</v>
      </c>
    </row>
    <row r="412" spans="1:12" ht="16.5" x14ac:dyDescent="0.35">
      <c r="A412" s="106" t="str">
        <f>HYPERLINK("https://www.examplebusiness.com/resource-center/estate/revising-estate-strategy-assumptions","https://www.examplebusiness.com/resource-center/estate/revising-estate-strategy-assumptions")</f>
        <v>https://www.examplebusiness.com/resource-center/estate/revising-estate-strategy-assumptions</v>
      </c>
      <c r="B412" s="34">
        <v>4</v>
      </c>
      <c r="C412" s="34">
        <v>0</v>
      </c>
      <c r="D412" s="34">
        <v>0</v>
      </c>
      <c r="E412" s="34">
        <v>0</v>
      </c>
      <c r="F412" s="34">
        <v>200</v>
      </c>
      <c r="G412" s="34">
        <v>0</v>
      </c>
      <c r="H412" s="34"/>
      <c r="I412" s="34" t="s">
        <v>1561</v>
      </c>
      <c r="J412" s="34" t="s">
        <v>1561</v>
      </c>
      <c r="K412" s="107" t="s">
        <v>1561</v>
      </c>
      <c r="L412" s="34" t="s">
        <v>1561</v>
      </c>
    </row>
    <row r="413" spans="1:12" ht="16.5" x14ac:dyDescent="0.35">
      <c r="A413" s="106" t="str">
        <f>HYPERLINK("https://www.examplebusiness.com/resource-center/retirement/what-is-a-roth-401k","https://www.examplebusiness.com/resource-center/retirement/what-is-a-roth-401k")</f>
        <v>https://www.examplebusiness.com/resource-center/retirement/what-is-a-roth-401k</v>
      </c>
      <c r="B413" s="34">
        <v>4</v>
      </c>
      <c r="C413" s="34">
        <v>0</v>
      </c>
      <c r="D413" s="34">
        <v>0</v>
      </c>
      <c r="E413" s="34">
        <v>0</v>
      </c>
      <c r="F413" s="34">
        <v>200</v>
      </c>
      <c r="G413" s="34">
        <v>0</v>
      </c>
      <c r="H413" s="34"/>
      <c r="I413" s="34">
        <v>0</v>
      </c>
      <c r="J413" s="34">
        <v>7</v>
      </c>
      <c r="K413" s="107">
        <v>0</v>
      </c>
      <c r="L413" s="34">
        <v>65.430000000000007</v>
      </c>
    </row>
    <row r="414" spans="1:12" ht="16.5" x14ac:dyDescent="0.35">
      <c r="A414" s="106" t="str">
        <f>HYPERLINK("https://www.examplebusiness.com/blog/three-steps-to-build-your-savings","https://www.examplebusiness.com/blog/three-steps-to-build-your-savings")</f>
        <v>https://www.examplebusiness.com/blog/three-steps-to-build-your-savings</v>
      </c>
      <c r="B414" s="34">
        <v>4</v>
      </c>
      <c r="C414" s="34">
        <v>0</v>
      </c>
      <c r="D414" s="34">
        <v>0</v>
      </c>
      <c r="E414" s="34">
        <v>0</v>
      </c>
      <c r="F414" s="34">
        <v>200</v>
      </c>
      <c r="G414" s="34">
        <v>0</v>
      </c>
      <c r="H414" s="34"/>
      <c r="I414" s="34">
        <v>0</v>
      </c>
      <c r="J414" s="34">
        <v>13</v>
      </c>
      <c r="K414" s="107">
        <v>0</v>
      </c>
      <c r="L414" s="34">
        <v>73.62</v>
      </c>
    </row>
    <row r="415" spans="1:12" ht="16.5" x14ac:dyDescent="0.35">
      <c r="A415" s="106" t="str">
        <f>HYPERLINK("https://www.examplebusiness.com/resource-center/retirement/social-security-5-facts-you-need-to-know","https://www.examplebusiness.com/resource-center/retirement/social-security-5-facts-you-need-to-know")</f>
        <v>https://www.examplebusiness.com/resource-center/retirement/social-security-5-facts-you-need-to-know</v>
      </c>
      <c r="B415" s="34">
        <v>4</v>
      </c>
      <c r="C415" s="34">
        <v>0</v>
      </c>
      <c r="D415" s="34">
        <v>0</v>
      </c>
      <c r="E415" s="34">
        <v>0</v>
      </c>
      <c r="F415" s="34">
        <v>200</v>
      </c>
      <c r="G415" s="34">
        <v>0</v>
      </c>
      <c r="H415" s="34"/>
      <c r="I415" s="34" t="s">
        <v>1561</v>
      </c>
      <c r="J415" s="34" t="s">
        <v>1561</v>
      </c>
      <c r="K415" s="107" t="s">
        <v>1561</v>
      </c>
      <c r="L415" s="34" t="s">
        <v>1561</v>
      </c>
    </row>
    <row r="416" spans="1:12" ht="16.5" x14ac:dyDescent="0.35">
      <c r="A416" s="106" t="str">
        <f>HYPERLINK("https://www.examplebusiness.com/blog/12-estate-planning-must-dos","https://www.examplebusiness.com/blog/12-estate-planning-must-dos")</f>
        <v>https://www.examplebusiness.com/blog/12-estate-planning-must-dos</v>
      </c>
      <c r="B416" s="34">
        <v>4</v>
      </c>
      <c r="C416" s="34">
        <v>0</v>
      </c>
      <c r="D416" s="34">
        <v>0</v>
      </c>
      <c r="E416" s="34">
        <v>0</v>
      </c>
      <c r="F416" s="34">
        <v>200</v>
      </c>
      <c r="G416" s="34">
        <v>0</v>
      </c>
      <c r="H416" s="34"/>
      <c r="I416" s="34">
        <v>0</v>
      </c>
      <c r="J416" s="34">
        <v>1</v>
      </c>
      <c r="K416" s="107">
        <v>0</v>
      </c>
      <c r="L416" s="34">
        <v>100</v>
      </c>
    </row>
    <row r="417" spans="1:12" ht="16.5" x14ac:dyDescent="0.35">
      <c r="A417" s="106" t="str">
        <f>HYPERLINK("https://www.examplebusiness.com/resource-center/retirement/dreaming-up-an-active-retirement","https://www.examplebusiness.com/resource-center/retirement/dreaming-up-an-active-retirement")</f>
        <v>https://www.examplebusiness.com/resource-center/retirement/dreaming-up-an-active-retirement</v>
      </c>
      <c r="B417" s="34">
        <v>4</v>
      </c>
      <c r="C417" s="34">
        <v>0</v>
      </c>
      <c r="D417" s="34">
        <v>0</v>
      </c>
      <c r="E417" s="34">
        <v>0</v>
      </c>
      <c r="F417" s="34">
        <v>200</v>
      </c>
      <c r="G417" s="34">
        <v>0</v>
      </c>
      <c r="H417" s="34"/>
      <c r="I417" s="34">
        <v>0</v>
      </c>
      <c r="J417" s="34">
        <v>2</v>
      </c>
      <c r="K417" s="107">
        <v>0</v>
      </c>
      <c r="L417" s="34">
        <v>18</v>
      </c>
    </row>
    <row r="418" spans="1:12" ht="16.5" x14ac:dyDescent="0.35">
      <c r="A418" s="106" t="str">
        <f>HYPERLINK("https://www.examplebusiness.com/resource-center/retirement/social-security-the-64000-dollar-question","https://www.examplebusiness.com/resource-center/retirement/social-security-the-64000-dollar-question")</f>
        <v>https://www.examplebusiness.com/resource-center/retirement/social-security-the-64000-dollar-question</v>
      </c>
      <c r="B418" s="34">
        <v>4</v>
      </c>
      <c r="C418" s="34">
        <v>0</v>
      </c>
      <c r="D418" s="34">
        <v>0</v>
      </c>
      <c r="E418" s="34">
        <v>0</v>
      </c>
      <c r="F418" s="34">
        <v>200</v>
      </c>
      <c r="G418" s="34">
        <v>0</v>
      </c>
      <c r="H418" s="34"/>
      <c r="I418" s="34" t="s">
        <v>1561</v>
      </c>
      <c r="J418" s="34" t="s">
        <v>1561</v>
      </c>
      <c r="K418" s="107" t="s">
        <v>1561</v>
      </c>
      <c r="L418" s="34" t="s">
        <v>1561</v>
      </c>
    </row>
    <row r="419" spans="1:12" ht="16.5" x14ac:dyDescent="0.35">
      <c r="A419" s="106" t="str">
        <f>HYPERLINK("https://www.examplebusiness.com/resource-center/lifestyle/a-new-way-to-look-at-your-bucket-list","https://www.examplebusiness.com/resource-center/lifestyle/a-new-way-to-look-at-your-bucket-list")</f>
        <v>https://www.examplebusiness.com/resource-center/lifestyle/a-new-way-to-look-at-your-bucket-list</v>
      </c>
      <c r="B419" s="34">
        <v>4</v>
      </c>
      <c r="C419" s="34">
        <v>0</v>
      </c>
      <c r="D419" s="34">
        <v>0</v>
      </c>
      <c r="E419" s="34">
        <v>0</v>
      </c>
      <c r="F419" s="34">
        <v>200</v>
      </c>
      <c r="G419" s="34">
        <v>0</v>
      </c>
      <c r="H419" s="34"/>
      <c r="I419" s="34" t="s">
        <v>1561</v>
      </c>
      <c r="J419" s="34" t="s">
        <v>1561</v>
      </c>
      <c r="K419" s="107" t="s">
        <v>1561</v>
      </c>
      <c r="L419" s="34" t="s">
        <v>1561</v>
      </c>
    </row>
    <row r="420" spans="1:12" ht="16.5" x14ac:dyDescent="0.35">
      <c r="A420" s="106" t="str">
        <f>HYPERLINK("https://www.examplebusiness.com/resource-center/tax/you-may-need-to-make-estimated-tax-payments-if","https://www.examplebusiness.com/resource-center/tax/you-may-need-to-make-estimated-tax-payments-if")</f>
        <v>https://www.examplebusiness.com/resource-center/tax/you-may-need-to-make-estimated-tax-payments-if</v>
      </c>
      <c r="B420" s="34">
        <v>4</v>
      </c>
      <c r="C420" s="34">
        <v>0</v>
      </c>
      <c r="D420" s="34">
        <v>0</v>
      </c>
      <c r="E420" s="34">
        <v>0</v>
      </c>
      <c r="F420" s="34">
        <v>200</v>
      </c>
      <c r="G420" s="34">
        <v>1</v>
      </c>
      <c r="H420" s="34"/>
      <c r="I420" s="34">
        <v>0</v>
      </c>
      <c r="J420" s="34">
        <v>1</v>
      </c>
      <c r="K420" s="107">
        <v>0</v>
      </c>
      <c r="L420" s="34">
        <v>20</v>
      </c>
    </row>
    <row r="421" spans="1:12" ht="16.5" x14ac:dyDescent="0.35">
      <c r="A421" s="106" t="str">
        <f>HYPERLINK("https://www.examplebusiness.com/blog/breaking-down-the-inverted-yield-curve","https://www.examplebusiness.com/blog/breaking-down-the-inverted-yield-curve")</f>
        <v>https://www.examplebusiness.com/blog/breaking-down-the-inverted-yield-curve</v>
      </c>
      <c r="B421" s="34">
        <v>4</v>
      </c>
      <c r="C421" s="34">
        <v>0</v>
      </c>
      <c r="D421" s="34">
        <v>0</v>
      </c>
      <c r="E421" s="34">
        <v>0</v>
      </c>
      <c r="F421" s="34">
        <v>200</v>
      </c>
      <c r="G421" s="34">
        <v>0</v>
      </c>
      <c r="H421" s="34"/>
      <c r="I421" s="34">
        <v>0</v>
      </c>
      <c r="J421" s="34">
        <v>3</v>
      </c>
      <c r="K421" s="107">
        <v>0</v>
      </c>
      <c r="L421" s="34">
        <v>28.67</v>
      </c>
    </row>
    <row r="422" spans="1:12" ht="16.5" x14ac:dyDescent="0.35">
      <c r="A422" s="106" t="str">
        <f>HYPERLINK("https://www.examplebusiness.com/resource-center/investment/investing-for-impact","https://www.examplebusiness.com/resource-center/investment/investing-for-impact")</f>
        <v>https://www.examplebusiness.com/resource-center/investment/investing-for-impact</v>
      </c>
      <c r="B422" s="34">
        <v>4</v>
      </c>
      <c r="C422" s="34">
        <v>0</v>
      </c>
      <c r="D422" s="34">
        <v>0</v>
      </c>
      <c r="E422" s="34">
        <v>0</v>
      </c>
      <c r="F422" s="34">
        <v>200</v>
      </c>
      <c r="G422" s="34">
        <v>0</v>
      </c>
      <c r="H422" s="34"/>
      <c r="I422" s="34" t="s">
        <v>1561</v>
      </c>
      <c r="J422" s="34" t="s">
        <v>1561</v>
      </c>
      <c r="K422" s="107" t="s">
        <v>1561</v>
      </c>
      <c r="L422" s="34" t="s">
        <v>1561</v>
      </c>
    </row>
    <row r="423" spans="1:12" ht="16.5" x14ac:dyDescent="0.35">
      <c r="A423" s="106" t="str">
        <f>HYPERLINK("https://www.examplebusiness.com/blog/what-is-in-the-2-trillion-relief-package","https://www.examplebusiness.com/blog/what-is-in-the-2-trillion-relief-package")</f>
        <v>https://www.examplebusiness.com/blog/what-is-in-the-2-trillion-relief-package</v>
      </c>
      <c r="B423" s="34">
        <v>4</v>
      </c>
      <c r="C423" s="34">
        <v>0</v>
      </c>
      <c r="D423" s="34">
        <v>0</v>
      </c>
      <c r="E423" s="34">
        <v>0</v>
      </c>
      <c r="F423" s="34">
        <v>200</v>
      </c>
      <c r="G423" s="34">
        <v>0</v>
      </c>
      <c r="H423" s="34"/>
      <c r="I423" s="34">
        <v>0</v>
      </c>
      <c r="J423" s="34">
        <v>2</v>
      </c>
      <c r="K423" s="107">
        <v>0</v>
      </c>
      <c r="L423" s="34">
        <v>86.5</v>
      </c>
    </row>
    <row r="424" spans="1:12" ht="16.5" x14ac:dyDescent="0.35">
      <c r="A424" s="106" t="str">
        <f>HYPERLINK("https://www.examplebusiness.com/team/lindsey-lewis","https://www.examplebusiness.com/team/lindsey-lewis")</f>
        <v>https://www.examplebusiness.com/team/lindsey-lewis</v>
      </c>
      <c r="B424" s="34">
        <v>4</v>
      </c>
      <c r="C424" s="34">
        <v>0</v>
      </c>
      <c r="D424" s="34">
        <v>0</v>
      </c>
      <c r="E424" s="34">
        <v>0</v>
      </c>
      <c r="F424" s="34">
        <v>200</v>
      </c>
      <c r="G424" s="34">
        <v>0</v>
      </c>
      <c r="H424" s="34"/>
      <c r="I424" s="34">
        <v>0</v>
      </c>
      <c r="J424" s="34">
        <v>1</v>
      </c>
      <c r="K424" s="107">
        <v>0</v>
      </c>
      <c r="L424" s="34">
        <v>2</v>
      </c>
    </row>
    <row r="425" spans="1:12" ht="16.5" x14ac:dyDescent="0.35">
      <c r="A425" s="106" t="str">
        <f>HYPERLINK("https://www.examplebusiness.com/resource-center/retirement/risk-tolerance-whats-your-style","https://www.examplebusiness.com/resource-center/retirement/risk-tolerance-whats-your-style")</f>
        <v>https://www.examplebusiness.com/resource-center/retirement/risk-tolerance-whats-your-style</v>
      </c>
      <c r="B425" s="34">
        <v>4</v>
      </c>
      <c r="C425" s="34">
        <v>0</v>
      </c>
      <c r="D425" s="34">
        <v>0</v>
      </c>
      <c r="E425" s="34">
        <v>0</v>
      </c>
      <c r="F425" s="34">
        <v>200</v>
      </c>
      <c r="G425" s="34">
        <v>0</v>
      </c>
      <c r="H425" s="34"/>
      <c r="I425" s="34" t="s">
        <v>1561</v>
      </c>
      <c r="J425" s="34" t="s">
        <v>1561</v>
      </c>
      <c r="K425" s="107" t="s">
        <v>1561</v>
      </c>
      <c r="L425" s="34" t="s">
        <v>1561</v>
      </c>
    </row>
    <row r="426" spans="1:12" ht="16.5" x14ac:dyDescent="0.35">
      <c r="A426" s="106" t="str">
        <f>HYPERLINK("https://www.examplebusiness.com/resource-center/estate/a-living-trust-primer","https://www.examplebusiness.com/resource-center/estate/a-living-trust-primer")</f>
        <v>https://www.examplebusiness.com/resource-center/estate/a-living-trust-primer</v>
      </c>
      <c r="B426" s="34">
        <v>4</v>
      </c>
      <c r="C426" s="34">
        <v>0</v>
      </c>
      <c r="D426" s="34">
        <v>0</v>
      </c>
      <c r="E426" s="34">
        <v>0</v>
      </c>
      <c r="F426" s="34">
        <v>200</v>
      </c>
      <c r="G426" s="34">
        <v>0</v>
      </c>
      <c r="H426" s="34"/>
      <c r="I426" s="34" t="s">
        <v>1561</v>
      </c>
      <c r="J426" s="34" t="s">
        <v>1561</v>
      </c>
      <c r="K426" s="107" t="s">
        <v>1561</v>
      </c>
      <c r="L426" s="34" t="s">
        <v>1561</v>
      </c>
    </row>
    <row r="427" spans="1:12" ht="16.5" x14ac:dyDescent="0.35">
      <c r="A427" s="106" t="str">
        <f>HYPERLINK("https://www.examplebusiness.com/blog/surviving-the-holiday-spending-seasondebt-free","https://www.examplebusiness.com/blog/surviving-the-holiday-spending-seasondebt-free")</f>
        <v>https://www.examplebusiness.com/blog/surviving-the-holiday-spending-seasondebt-free</v>
      </c>
      <c r="B427" s="34">
        <v>4</v>
      </c>
      <c r="C427" s="34">
        <v>0</v>
      </c>
      <c r="D427" s="34">
        <v>0</v>
      </c>
      <c r="E427" s="34">
        <v>0</v>
      </c>
      <c r="F427" s="34">
        <v>200</v>
      </c>
      <c r="G427" s="34">
        <v>0</v>
      </c>
      <c r="H427" s="34"/>
      <c r="I427" s="34" t="s">
        <v>1561</v>
      </c>
      <c r="J427" s="34" t="s">
        <v>1561</v>
      </c>
      <c r="K427" s="107" t="s">
        <v>1561</v>
      </c>
      <c r="L427" s="34" t="s">
        <v>1561</v>
      </c>
    </row>
    <row r="428" spans="1:12" ht="16.5" x14ac:dyDescent="0.35">
      <c r="A428" s="106" t="str">
        <f>HYPERLINK("https://www.examplebusiness.com/blog/have-stay-at-home-growth-stocks-peaked","https://www.examplebusiness.com/blog/have-stay-at-home-growth-stocks-peaked")</f>
        <v>https://www.examplebusiness.com/blog/have-stay-at-home-growth-stocks-peaked</v>
      </c>
      <c r="B428" s="34">
        <v>4</v>
      </c>
      <c r="C428" s="34">
        <v>0</v>
      </c>
      <c r="D428" s="34">
        <v>0</v>
      </c>
      <c r="E428" s="34">
        <v>0</v>
      </c>
      <c r="F428" s="34">
        <v>200</v>
      </c>
      <c r="G428" s="34">
        <v>0</v>
      </c>
      <c r="H428" s="34"/>
      <c r="I428" s="34" t="s">
        <v>1561</v>
      </c>
      <c r="J428" s="34" t="s">
        <v>1561</v>
      </c>
      <c r="K428" s="107" t="s">
        <v>1561</v>
      </c>
      <c r="L428" s="34" t="s">
        <v>1561</v>
      </c>
    </row>
    <row r="429" spans="1:12" ht="16.5" x14ac:dyDescent="0.35">
      <c r="A429" s="106" t="str">
        <f>HYPERLINK("https://www.examplebusiness.com/resource-center/retirement/does-your-portfolio-fit-your-retirement-lifestyle","https://www.examplebusiness.com/resource-center/retirement/does-your-portfolio-fit-your-retirement-lifestyle")</f>
        <v>https://www.examplebusiness.com/resource-center/retirement/does-your-portfolio-fit-your-retirement-lifestyle</v>
      </c>
      <c r="B429" s="34">
        <v>4</v>
      </c>
      <c r="C429" s="34">
        <v>0</v>
      </c>
      <c r="D429" s="34">
        <v>0</v>
      </c>
      <c r="E429" s="34">
        <v>0</v>
      </c>
      <c r="F429" s="34">
        <v>200</v>
      </c>
      <c r="G429" s="34">
        <v>0</v>
      </c>
      <c r="H429" s="34"/>
      <c r="I429" s="34" t="s">
        <v>1561</v>
      </c>
      <c r="J429" s="34" t="s">
        <v>1561</v>
      </c>
      <c r="K429" s="107" t="s">
        <v>1561</v>
      </c>
      <c r="L429" s="34" t="s">
        <v>1561</v>
      </c>
    </row>
    <row r="430" spans="1:12" ht="16.5" x14ac:dyDescent="0.35">
      <c r="A430" s="106" t="str">
        <f>HYPERLINK("https://www.examplebusiness.com/resource-center/estate/critical-estate-documents","https://www.examplebusiness.com/resource-center/estate/critical-estate-documents")</f>
        <v>https://www.examplebusiness.com/resource-center/estate/critical-estate-documents</v>
      </c>
      <c r="B430" s="34">
        <v>4</v>
      </c>
      <c r="C430" s="34">
        <v>0</v>
      </c>
      <c r="D430" s="34">
        <v>0</v>
      </c>
      <c r="E430" s="34">
        <v>0</v>
      </c>
      <c r="F430" s="34">
        <v>200</v>
      </c>
      <c r="G430" s="34">
        <v>0</v>
      </c>
      <c r="H430" s="34"/>
      <c r="I430" s="34" t="s">
        <v>1561</v>
      </c>
      <c r="J430" s="34" t="s">
        <v>1561</v>
      </c>
      <c r="K430" s="107" t="s">
        <v>1561</v>
      </c>
      <c r="L430" s="34" t="s">
        <v>1561</v>
      </c>
    </row>
    <row r="431" spans="1:12" ht="16.5" x14ac:dyDescent="0.35">
      <c r="A431" s="106" t="str">
        <f>HYPERLINK("https://www.examplebusiness.com/resource-center/insurance/understanding-the-basics-of-medigap-policies","https://www.examplebusiness.com/resource-center/insurance/understanding-the-basics-of-medigap-policies")</f>
        <v>https://www.examplebusiness.com/resource-center/insurance/understanding-the-basics-of-medigap-policies</v>
      </c>
      <c r="B431" s="34">
        <v>4</v>
      </c>
      <c r="C431" s="34">
        <v>0</v>
      </c>
      <c r="D431" s="34">
        <v>0</v>
      </c>
      <c r="E431" s="34">
        <v>0</v>
      </c>
      <c r="F431" s="34">
        <v>200</v>
      </c>
      <c r="G431" s="34">
        <v>1</v>
      </c>
      <c r="H431" s="34"/>
      <c r="I431" s="34">
        <v>0</v>
      </c>
      <c r="J431" s="34">
        <v>2</v>
      </c>
      <c r="K431" s="107">
        <v>0</v>
      </c>
      <c r="L431" s="34">
        <v>15</v>
      </c>
    </row>
    <row r="432" spans="1:12" ht="16.5" x14ac:dyDescent="0.35">
      <c r="A432" s="106" t="str">
        <f>HYPERLINK("https://www.examplebusiness.com/resource-center/retirement/thinking-of-retiring-abroad","https://www.examplebusiness.com/resource-center/retirement/thinking-of-retiring-abroad")</f>
        <v>https://www.examplebusiness.com/resource-center/retirement/thinking-of-retiring-abroad</v>
      </c>
      <c r="B432" s="34">
        <v>4</v>
      </c>
      <c r="C432" s="34">
        <v>0</v>
      </c>
      <c r="D432" s="34">
        <v>0</v>
      </c>
      <c r="E432" s="34">
        <v>0</v>
      </c>
      <c r="F432" s="34">
        <v>200</v>
      </c>
      <c r="G432" s="34">
        <v>0</v>
      </c>
      <c r="H432" s="34"/>
      <c r="I432" s="34" t="s">
        <v>1561</v>
      </c>
      <c r="J432" s="34" t="s">
        <v>1561</v>
      </c>
      <c r="K432" s="107" t="s">
        <v>1561</v>
      </c>
      <c r="L432" s="34" t="s">
        <v>1561</v>
      </c>
    </row>
    <row r="433" spans="1:12" ht="16.5" x14ac:dyDescent="0.35">
      <c r="A433" s="106" t="str">
        <f>HYPERLINK("https://www.examplebusiness.com/blog/getting-a-jump-on-january-tax-season","https://www.examplebusiness.com/blog/getting-a-jump-on-january-tax-season")</f>
        <v>https://www.examplebusiness.com/blog/getting-a-jump-on-january-tax-season</v>
      </c>
      <c r="B433" s="34">
        <v>4</v>
      </c>
      <c r="C433" s="34">
        <v>0</v>
      </c>
      <c r="D433" s="34">
        <v>0</v>
      </c>
      <c r="E433" s="34">
        <v>0</v>
      </c>
      <c r="F433" s="34">
        <v>200</v>
      </c>
      <c r="G433" s="34">
        <v>0</v>
      </c>
      <c r="H433" s="34"/>
      <c r="I433" s="34">
        <v>0</v>
      </c>
      <c r="J433" s="34">
        <v>3</v>
      </c>
      <c r="K433" s="107">
        <v>0</v>
      </c>
      <c r="L433" s="34">
        <v>44.67</v>
      </c>
    </row>
    <row r="434" spans="1:12" ht="16.5" x14ac:dyDescent="0.35">
      <c r="A434" s="106" t="str">
        <f>HYPERLINK("https://www.examplebusiness.com/resource-center/insurance/what-to-look-for-in-a-long-term-care-policy","https://www.examplebusiness.com/resource-center/insurance/what-to-look-for-in-a-long-term-care-policy")</f>
        <v>https://www.examplebusiness.com/resource-center/insurance/what-to-look-for-in-a-long-term-care-policy</v>
      </c>
      <c r="B434" s="34">
        <v>4</v>
      </c>
      <c r="C434" s="34">
        <v>0</v>
      </c>
      <c r="D434" s="34">
        <v>0</v>
      </c>
      <c r="E434" s="34">
        <v>0</v>
      </c>
      <c r="F434" s="34">
        <v>200</v>
      </c>
      <c r="G434" s="34">
        <v>0</v>
      </c>
      <c r="H434" s="34"/>
      <c r="I434" s="34" t="s">
        <v>1561</v>
      </c>
      <c r="J434" s="34" t="s">
        <v>1561</v>
      </c>
      <c r="K434" s="107" t="s">
        <v>1561</v>
      </c>
      <c r="L434" s="34" t="s">
        <v>1561</v>
      </c>
    </row>
    <row r="435" spans="1:12" ht="16.5" x14ac:dyDescent="0.35">
      <c r="A435" s="106" t="str">
        <f>HYPERLINK("https://www.examplebusiness.com/resource-center/tax/five-most-overlooked-tax-deductions","https://www.examplebusiness.com/resource-center/tax/five-most-overlooked-tax-deductions")</f>
        <v>https://www.examplebusiness.com/resource-center/tax/five-most-overlooked-tax-deductions</v>
      </c>
      <c r="B435" s="34">
        <v>4</v>
      </c>
      <c r="C435" s="34">
        <v>0</v>
      </c>
      <c r="D435" s="34">
        <v>0</v>
      </c>
      <c r="E435" s="34">
        <v>0</v>
      </c>
      <c r="F435" s="34">
        <v>200</v>
      </c>
      <c r="G435" s="34">
        <v>0</v>
      </c>
      <c r="H435" s="34"/>
      <c r="I435" s="34" t="s">
        <v>1561</v>
      </c>
      <c r="J435" s="34" t="s">
        <v>1561</v>
      </c>
      <c r="K435" s="107" t="s">
        <v>1561</v>
      </c>
      <c r="L435" s="34" t="s">
        <v>1561</v>
      </c>
    </row>
    <row r="436" spans="1:12" ht="16.5" x14ac:dyDescent="0.35">
      <c r="A436" s="106" t="str">
        <f>HYPERLINK("https://www.examplebusiness.com/blog/7-things-to-know-about-the-usa-china-trade-dispute","https://www.examplebusiness.com/blog/7-things-to-know-about-the-usa-china-trade-dispute")</f>
        <v>https://www.examplebusiness.com/blog/7-things-to-know-about-the-usa-china-trade-dispute</v>
      </c>
      <c r="B436" s="34">
        <v>4</v>
      </c>
      <c r="C436" s="34">
        <v>0</v>
      </c>
      <c r="D436" s="34">
        <v>0</v>
      </c>
      <c r="E436" s="34">
        <v>0</v>
      </c>
      <c r="F436" s="34">
        <v>200</v>
      </c>
      <c r="G436" s="34">
        <v>0</v>
      </c>
      <c r="H436" s="34"/>
      <c r="I436" s="34" t="s">
        <v>1561</v>
      </c>
      <c r="J436" s="34" t="s">
        <v>1561</v>
      </c>
      <c r="K436" s="107" t="s">
        <v>1561</v>
      </c>
      <c r="L436" s="34" t="s">
        <v>1561</v>
      </c>
    </row>
    <row r="437" spans="1:12" ht="16.5" x14ac:dyDescent="0.35">
      <c r="A437" s="106" t="str">
        <f>HYPERLINK("https://www.examplebusiness.com/team/michelle-vanderpoel","https://www.examplebusiness.com/team/michelle-vanderpoel")</f>
        <v>https://www.examplebusiness.com/team/michelle-vanderpoel</v>
      </c>
      <c r="B437" s="34">
        <v>4</v>
      </c>
      <c r="C437" s="34">
        <v>0</v>
      </c>
      <c r="D437" s="34">
        <v>0</v>
      </c>
      <c r="E437" s="34">
        <v>0</v>
      </c>
      <c r="F437" s="34">
        <v>200</v>
      </c>
      <c r="G437" s="34">
        <v>0</v>
      </c>
      <c r="H437" s="34"/>
      <c r="I437" s="34" t="s">
        <v>1561</v>
      </c>
      <c r="J437" s="34" t="s">
        <v>1561</v>
      </c>
      <c r="K437" s="107" t="s">
        <v>1561</v>
      </c>
      <c r="L437" s="34" t="s">
        <v>1561</v>
      </c>
    </row>
    <row r="438" spans="1:12" ht="16.5" x14ac:dyDescent="0.35">
      <c r="A438" s="106" t="str">
        <f>HYPERLINK("https://www.examplebusiness.com/resource-center/tax/get-paid-for-going-green","https://www.examplebusiness.com/resource-center/tax/get-paid-for-going-green")</f>
        <v>https://www.examplebusiness.com/resource-center/tax/get-paid-for-going-green</v>
      </c>
      <c r="B438" s="34">
        <v>4</v>
      </c>
      <c r="C438" s="34">
        <v>0</v>
      </c>
      <c r="D438" s="34">
        <v>0</v>
      </c>
      <c r="E438" s="34">
        <v>0</v>
      </c>
      <c r="F438" s="34">
        <v>200</v>
      </c>
      <c r="G438" s="34">
        <v>0</v>
      </c>
      <c r="H438" s="34"/>
      <c r="I438" s="34" t="s">
        <v>1561</v>
      </c>
      <c r="J438" s="34" t="s">
        <v>1561</v>
      </c>
      <c r="K438" s="107" t="s">
        <v>1561</v>
      </c>
      <c r="L438" s="34" t="s">
        <v>1561</v>
      </c>
    </row>
    <row r="439" spans="1:12" ht="16.5" x14ac:dyDescent="0.35">
      <c r="A439" s="106" t="str">
        <f>HYPERLINK("https://www.examplebusiness.com/resource-center/lifestyle/personal-finance-tips-for-military-families","https://www.examplebusiness.com/resource-center/lifestyle/personal-finance-tips-for-military-families")</f>
        <v>https://www.examplebusiness.com/resource-center/lifestyle/personal-finance-tips-for-military-families</v>
      </c>
      <c r="B439" s="34">
        <v>4</v>
      </c>
      <c r="C439" s="34">
        <v>0</v>
      </c>
      <c r="D439" s="34">
        <v>0</v>
      </c>
      <c r="E439" s="34">
        <v>0</v>
      </c>
      <c r="F439" s="34">
        <v>200</v>
      </c>
      <c r="G439" s="34">
        <v>0</v>
      </c>
      <c r="H439" s="34"/>
      <c r="I439" s="34" t="s">
        <v>1561</v>
      </c>
      <c r="J439" s="34" t="s">
        <v>1561</v>
      </c>
      <c r="K439" s="107" t="s">
        <v>1561</v>
      </c>
      <c r="L439" s="34" t="s">
        <v>1561</v>
      </c>
    </row>
    <row r="440" spans="1:12" ht="16.5" x14ac:dyDescent="0.35">
      <c r="A440" s="106" t="str">
        <f>HYPERLINK("https://www.examplebusiness.com/blog/529-savings-plans-vs-prepaid-tuition-plans","https://www.examplebusiness.com/blog/529-savings-plans-vs-prepaid-tuition-plans")</f>
        <v>https://www.examplebusiness.com/blog/529-savings-plans-vs-prepaid-tuition-plans</v>
      </c>
      <c r="B440" s="34">
        <v>4</v>
      </c>
      <c r="C440" s="34">
        <v>0</v>
      </c>
      <c r="D440" s="34">
        <v>0</v>
      </c>
      <c r="E440" s="34">
        <v>0</v>
      </c>
      <c r="F440" s="34">
        <v>200</v>
      </c>
      <c r="G440" s="34">
        <v>0</v>
      </c>
      <c r="H440" s="34"/>
      <c r="I440" s="34">
        <v>0</v>
      </c>
      <c r="J440" s="34">
        <v>2</v>
      </c>
      <c r="K440" s="107">
        <v>0</v>
      </c>
      <c r="L440" s="34">
        <v>21.5</v>
      </c>
    </row>
    <row r="441" spans="1:12" ht="16.5" x14ac:dyDescent="0.35">
      <c r="A441" s="106" t="str">
        <f>HYPERLINK("https://www.examplebusiness.com/team/tom-whitnah-1","https://www.examplebusiness.com/team/tom-whitnah-1")</f>
        <v>https://www.examplebusiness.com/team/tom-whitnah-1</v>
      </c>
      <c r="B441" s="34">
        <v>4</v>
      </c>
      <c r="C441" s="34">
        <v>0</v>
      </c>
      <c r="D441" s="34">
        <v>0</v>
      </c>
      <c r="E441" s="34">
        <v>0</v>
      </c>
      <c r="F441" s="34">
        <v>200</v>
      </c>
      <c r="G441" s="34">
        <v>6</v>
      </c>
      <c r="H441" s="34"/>
      <c r="I441" s="34">
        <v>0</v>
      </c>
      <c r="J441" s="34">
        <v>5</v>
      </c>
      <c r="K441" s="107">
        <v>0</v>
      </c>
      <c r="L441" s="34">
        <v>44.4</v>
      </c>
    </row>
    <row r="442" spans="1:12" ht="16.5" x14ac:dyDescent="0.35">
      <c r="A442" s="106" t="str">
        <f>HYPERLINK("https://www.examplebusiness.com/resource-center/investment/types-of-stock-market-analysis","https://www.examplebusiness.com/resource-center/investment/types-of-stock-market-analysis")</f>
        <v>https://www.examplebusiness.com/resource-center/investment/types-of-stock-market-analysis</v>
      </c>
      <c r="B442" s="34">
        <v>4</v>
      </c>
      <c r="C442" s="34">
        <v>0</v>
      </c>
      <c r="D442" s="34">
        <v>0</v>
      </c>
      <c r="E442" s="34">
        <v>0</v>
      </c>
      <c r="F442" s="34">
        <v>200</v>
      </c>
      <c r="G442" s="34">
        <v>0</v>
      </c>
      <c r="H442" s="34"/>
      <c r="I442" s="34">
        <v>0</v>
      </c>
      <c r="J442" s="34">
        <v>3</v>
      </c>
      <c r="K442" s="107">
        <v>0</v>
      </c>
      <c r="L442" s="34">
        <v>11.67</v>
      </c>
    </row>
    <row r="443" spans="1:12" ht="16.5" x14ac:dyDescent="0.35">
      <c r="A443" s="106" t="str">
        <f>HYPERLINK("https://www.examplebusiness.com/resource-center/money/what-to-look-for-in-personal-finance-apps","https://www.examplebusiness.com/resource-center/money/what-to-look-for-in-personal-finance-apps")</f>
        <v>https://www.examplebusiness.com/resource-center/money/what-to-look-for-in-personal-finance-apps</v>
      </c>
      <c r="B443" s="34">
        <v>4</v>
      </c>
      <c r="C443" s="34">
        <v>0</v>
      </c>
      <c r="D443" s="34">
        <v>0</v>
      </c>
      <c r="E443" s="34">
        <v>0</v>
      </c>
      <c r="F443" s="34">
        <v>200</v>
      </c>
      <c r="G443" s="34">
        <v>0</v>
      </c>
      <c r="H443" s="34"/>
      <c r="I443" s="34">
        <v>0</v>
      </c>
      <c r="J443" s="34">
        <v>1</v>
      </c>
      <c r="K443" s="107">
        <v>0</v>
      </c>
      <c r="L443" s="34">
        <v>10</v>
      </c>
    </row>
    <row r="444" spans="1:12" ht="16.5" x14ac:dyDescent="0.35">
      <c r="A444" s="106" t="str">
        <f>HYPERLINK("https://www.examplebusiness.com/resource-center/insurance/a-brief-guide-to-condo-insurance","https://www.examplebusiness.com/resource-center/insurance/a-brief-guide-to-condo-insurance")</f>
        <v>https://www.examplebusiness.com/resource-center/insurance/a-brief-guide-to-condo-insurance</v>
      </c>
      <c r="B444" s="34">
        <v>4</v>
      </c>
      <c r="C444" s="34">
        <v>0</v>
      </c>
      <c r="D444" s="34">
        <v>0</v>
      </c>
      <c r="E444" s="34">
        <v>0</v>
      </c>
      <c r="F444" s="34">
        <v>200</v>
      </c>
      <c r="G444" s="34">
        <v>0</v>
      </c>
      <c r="H444" s="34"/>
      <c r="I444" s="34">
        <v>0</v>
      </c>
      <c r="J444" s="34">
        <v>1</v>
      </c>
      <c r="K444" s="107">
        <v>0</v>
      </c>
      <c r="L444" s="34">
        <v>46</v>
      </c>
    </row>
    <row r="445" spans="1:12" ht="16.5" x14ac:dyDescent="0.35">
      <c r="A445" s="106" t="str">
        <f>HYPERLINK("https://www.examplebusiness.com/resource-center/insurance/the-most-overlooked-item-in-any-home-improvement","https://www.examplebusiness.com/resource-center/insurance/the-most-overlooked-item-in-any-home-improvement")</f>
        <v>https://www.examplebusiness.com/resource-center/insurance/the-most-overlooked-item-in-any-home-improvement</v>
      </c>
      <c r="B445" s="34">
        <v>4</v>
      </c>
      <c r="C445" s="34">
        <v>0</v>
      </c>
      <c r="D445" s="34">
        <v>0</v>
      </c>
      <c r="E445" s="34">
        <v>0</v>
      </c>
      <c r="F445" s="34">
        <v>200</v>
      </c>
      <c r="G445" s="34">
        <v>0</v>
      </c>
      <c r="H445" s="34"/>
      <c r="I445" s="34">
        <v>0</v>
      </c>
      <c r="J445" s="34">
        <v>2</v>
      </c>
      <c r="K445" s="107">
        <v>0</v>
      </c>
      <c r="L445" s="34">
        <v>41.5</v>
      </c>
    </row>
    <row r="446" spans="1:12" ht="16.5" x14ac:dyDescent="0.35">
      <c r="A446" s="106" t="str">
        <f>HYPERLINK("https://www.examplebusiness.com/resource-center/insurance/insurance-needs-assessment-when-youre-married-with-children","https://www.examplebusiness.com/resource-center/insurance/insurance-needs-assessment-when-youre-married-with-children")</f>
        <v>https://www.examplebusiness.com/resource-center/insurance/insurance-needs-assessment-when-youre-married-with-children</v>
      </c>
      <c r="B446" s="34">
        <v>4</v>
      </c>
      <c r="C446" s="34">
        <v>0</v>
      </c>
      <c r="D446" s="34">
        <v>0</v>
      </c>
      <c r="E446" s="34">
        <v>0</v>
      </c>
      <c r="F446" s="34">
        <v>200</v>
      </c>
      <c r="G446" s="34">
        <v>0</v>
      </c>
      <c r="H446" s="34"/>
      <c r="I446" s="34" t="s">
        <v>1561</v>
      </c>
      <c r="J446" s="34" t="s">
        <v>1561</v>
      </c>
      <c r="K446" s="107" t="s">
        <v>1561</v>
      </c>
      <c r="L446" s="34" t="s">
        <v>1561</v>
      </c>
    </row>
    <row r="447" spans="1:12" ht="16.5" x14ac:dyDescent="0.35">
      <c r="A447" s="106" t="str">
        <f>HYPERLINK("https://www.examplebusiness.com/team/amy-lemke","https://www.examplebusiness.com/team/amy-lemke")</f>
        <v>https://www.examplebusiness.com/team/amy-lemke</v>
      </c>
      <c r="B447" s="34">
        <v>4</v>
      </c>
      <c r="C447" s="34">
        <v>0</v>
      </c>
      <c r="D447" s="34">
        <v>0</v>
      </c>
      <c r="E447" s="34">
        <v>0</v>
      </c>
      <c r="F447" s="34">
        <v>200</v>
      </c>
      <c r="G447" s="34">
        <v>0</v>
      </c>
      <c r="H447" s="34"/>
      <c r="I447" s="34">
        <v>0</v>
      </c>
      <c r="J447" s="34">
        <v>2</v>
      </c>
      <c r="K447" s="107">
        <v>0</v>
      </c>
      <c r="L447" s="34">
        <v>27.5</v>
      </c>
    </row>
    <row r="448" spans="1:12" ht="16.5" x14ac:dyDescent="0.35">
      <c r="A448" s="106" t="str">
        <f>HYPERLINK("https://www.examplebusiness.com/blog/what-president-trumps-tariff-means-for-you","https://www.examplebusiness.com/blog/what-president-trumps-tariff-means-for-you")</f>
        <v>https://www.examplebusiness.com/blog/what-president-trumps-tariff-means-for-you</v>
      </c>
      <c r="B448" s="34">
        <v>4</v>
      </c>
      <c r="C448" s="34">
        <v>0</v>
      </c>
      <c r="D448" s="34">
        <v>0</v>
      </c>
      <c r="E448" s="34">
        <v>0</v>
      </c>
      <c r="F448" s="34">
        <v>200</v>
      </c>
      <c r="G448" s="34">
        <v>0</v>
      </c>
      <c r="H448" s="34"/>
      <c r="I448" s="34" t="s">
        <v>1561</v>
      </c>
      <c r="J448" s="34" t="s">
        <v>1561</v>
      </c>
      <c r="K448" s="107" t="s">
        <v>1561</v>
      </c>
      <c r="L448" s="34" t="s">
        <v>1561</v>
      </c>
    </row>
    <row r="449" spans="1:12" ht="16.5" x14ac:dyDescent="0.35">
      <c r="A449" s="106" t="str">
        <f>HYPERLINK("https://www.examplebusiness.com/resource-center/estate/whats-is-my-current-net-worth","https://www.examplebusiness.com/resource-center/estate/whats-is-my-current-net-worth")</f>
        <v>https://www.examplebusiness.com/resource-center/estate/whats-is-my-current-net-worth</v>
      </c>
      <c r="B449" s="34">
        <v>4</v>
      </c>
      <c r="C449" s="34">
        <v>0</v>
      </c>
      <c r="D449" s="34">
        <v>0</v>
      </c>
      <c r="E449" s="34">
        <v>0</v>
      </c>
      <c r="F449" s="34">
        <v>200</v>
      </c>
      <c r="G449" s="34">
        <v>0</v>
      </c>
      <c r="H449" s="34"/>
      <c r="I449" s="34">
        <v>0</v>
      </c>
      <c r="J449" s="34">
        <v>10</v>
      </c>
      <c r="K449" s="107">
        <v>0</v>
      </c>
      <c r="L449" s="34">
        <v>19.899999999999999</v>
      </c>
    </row>
    <row r="450" spans="1:12" ht="16.5" x14ac:dyDescent="0.35">
      <c r="A450" s="106" t="str">
        <f>HYPERLINK("https://www.examplebusiness.com/resource-center/retirement/social-security-the-elephant-in-the-room","https://www.examplebusiness.com/resource-center/retirement/social-security-the-elephant-in-the-room")</f>
        <v>https://www.examplebusiness.com/resource-center/retirement/social-security-the-elephant-in-the-room</v>
      </c>
      <c r="B450" s="34">
        <v>4</v>
      </c>
      <c r="C450" s="34">
        <v>0</v>
      </c>
      <c r="D450" s="34">
        <v>0</v>
      </c>
      <c r="E450" s="34">
        <v>0</v>
      </c>
      <c r="F450" s="34">
        <v>200</v>
      </c>
      <c r="G450" s="34">
        <v>0</v>
      </c>
      <c r="H450" s="34"/>
      <c r="I450" s="34" t="s">
        <v>1561</v>
      </c>
      <c r="J450" s="34" t="s">
        <v>1561</v>
      </c>
      <c r="K450" s="107" t="s">
        <v>1561</v>
      </c>
      <c r="L450" s="34" t="s">
        <v>1561</v>
      </c>
    </row>
    <row r="451" spans="1:12" ht="16.5" x14ac:dyDescent="0.35">
      <c r="A451" s="106" t="str">
        <f>HYPERLINK("https://www.examplebusiness.com/team/andrea-vieyra","https://www.examplebusiness.com/team/andrea-vieyra")</f>
        <v>https://www.examplebusiness.com/team/andrea-vieyra</v>
      </c>
      <c r="B451" s="34">
        <v>4</v>
      </c>
      <c r="C451" s="34">
        <v>0</v>
      </c>
      <c r="D451" s="34">
        <v>0</v>
      </c>
      <c r="E451" s="34">
        <v>0</v>
      </c>
      <c r="F451" s="34">
        <v>200</v>
      </c>
      <c r="G451" s="34">
        <v>0</v>
      </c>
      <c r="H451" s="34"/>
      <c r="I451" s="34">
        <v>0</v>
      </c>
      <c r="J451" s="34">
        <v>2</v>
      </c>
      <c r="K451" s="107">
        <v>0</v>
      </c>
      <c r="L451" s="34">
        <v>12</v>
      </c>
    </row>
    <row r="452" spans="1:12" ht="16.5" x14ac:dyDescent="0.35">
      <c r="A452" s="106" t="str">
        <f>HYPERLINK("https://www.examplebusiness.com/resource-center/investment/how-to-invest-in-lgbtq-friendly-companies","https://www.examplebusiness.com/resource-center/investment/how-to-invest-in-lgbtq-friendly-companies")</f>
        <v>https://www.examplebusiness.com/resource-center/investment/how-to-invest-in-lgbtq-friendly-companies</v>
      </c>
      <c r="B452" s="34">
        <v>4</v>
      </c>
      <c r="C452" s="34">
        <v>0</v>
      </c>
      <c r="D452" s="34">
        <v>0</v>
      </c>
      <c r="E452" s="34">
        <v>0</v>
      </c>
      <c r="F452" s="34">
        <v>200</v>
      </c>
      <c r="G452" s="34">
        <v>0</v>
      </c>
      <c r="H452" s="34"/>
      <c r="I452" s="34" t="s">
        <v>1561</v>
      </c>
      <c r="J452" s="34" t="s">
        <v>1561</v>
      </c>
      <c r="K452" s="107" t="s">
        <v>1561</v>
      </c>
      <c r="L452" s="34" t="s">
        <v>1561</v>
      </c>
    </row>
    <row r="453" spans="1:12" ht="16.5" x14ac:dyDescent="0.35">
      <c r="A453" s="106" t="str">
        <f>HYPERLINK("https://www.examplebusiness.com/resource-center/money/the-average-american-budget","https://www.examplebusiness.com/resource-center/money/the-average-american-budget")</f>
        <v>https://www.examplebusiness.com/resource-center/money/the-average-american-budget</v>
      </c>
      <c r="B453" s="34">
        <v>4</v>
      </c>
      <c r="C453" s="34">
        <v>0</v>
      </c>
      <c r="D453" s="34">
        <v>0</v>
      </c>
      <c r="E453" s="34">
        <v>0</v>
      </c>
      <c r="F453" s="34">
        <v>200</v>
      </c>
      <c r="G453" s="34">
        <v>0</v>
      </c>
      <c r="H453" s="34"/>
      <c r="I453" s="34" t="s">
        <v>1561</v>
      </c>
      <c r="J453" s="34" t="s">
        <v>1561</v>
      </c>
      <c r="K453" s="107" t="s">
        <v>1561</v>
      </c>
      <c r="L453" s="34" t="s">
        <v>1561</v>
      </c>
    </row>
    <row r="454" spans="1:12" ht="16.5" x14ac:dyDescent="0.35">
      <c r="A454" s="106" t="str">
        <f>HYPERLINK("https://www.examplebusiness.com/resource-center/insurance/protecting-your-home-against-flood-loss","https://www.examplebusiness.com/resource-center/insurance/protecting-your-home-against-flood-loss")</f>
        <v>https://www.examplebusiness.com/resource-center/insurance/protecting-your-home-against-flood-loss</v>
      </c>
      <c r="B454" s="34">
        <v>4</v>
      </c>
      <c r="C454" s="34">
        <v>0</v>
      </c>
      <c r="D454" s="34">
        <v>0</v>
      </c>
      <c r="E454" s="34">
        <v>0</v>
      </c>
      <c r="F454" s="34">
        <v>200</v>
      </c>
      <c r="G454" s="34">
        <v>0</v>
      </c>
      <c r="H454" s="34"/>
      <c r="I454" s="34" t="s">
        <v>1561</v>
      </c>
      <c r="J454" s="34" t="s">
        <v>1561</v>
      </c>
      <c r="K454" s="107" t="s">
        <v>1561</v>
      </c>
      <c r="L454" s="34" t="s">
        <v>1561</v>
      </c>
    </row>
    <row r="455" spans="1:12" ht="16.5" x14ac:dyDescent="0.35">
      <c r="A455" s="106" t="str">
        <f>HYPERLINK("https://www.examplebusiness.com/blog/market-volatility-stresses-liquidity","https://www.examplebusiness.com/blog/market-volatility-stresses-liquidity")</f>
        <v>https://www.examplebusiness.com/blog/market-volatility-stresses-liquidity</v>
      </c>
      <c r="B455" s="34">
        <v>4</v>
      </c>
      <c r="C455" s="34">
        <v>0</v>
      </c>
      <c r="D455" s="34">
        <v>0</v>
      </c>
      <c r="E455" s="34">
        <v>0</v>
      </c>
      <c r="F455" s="34">
        <v>200</v>
      </c>
      <c r="G455" s="34">
        <v>0</v>
      </c>
      <c r="H455" s="34"/>
      <c r="I455" s="34">
        <v>0</v>
      </c>
      <c r="J455" s="34">
        <v>3</v>
      </c>
      <c r="K455" s="107">
        <v>0</v>
      </c>
      <c r="L455" s="34">
        <v>74.67</v>
      </c>
    </row>
    <row r="456" spans="1:12" ht="16.5" x14ac:dyDescent="0.35">
      <c r="A456" s="106" t="str">
        <f>HYPERLINK("https://www.examplebusiness.com/resource-center/investment/asset-allocation","https://www.examplebusiness.com/resource-center/investment/asset-allocation")</f>
        <v>https://www.examplebusiness.com/resource-center/investment/asset-allocation</v>
      </c>
      <c r="B456" s="34">
        <v>4</v>
      </c>
      <c r="C456" s="34">
        <v>0</v>
      </c>
      <c r="D456" s="34">
        <v>0</v>
      </c>
      <c r="E456" s="34">
        <v>0</v>
      </c>
      <c r="F456" s="34">
        <v>200</v>
      </c>
      <c r="G456" s="34">
        <v>0</v>
      </c>
      <c r="H456" s="34"/>
      <c r="I456" s="34" t="s">
        <v>1561</v>
      </c>
      <c r="J456" s="34" t="s">
        <v>1561</v>
      </c>
      <c r="K456" s="107" t="s">
        <v>1561</v>
      </c>
      <c r="L456" s="34" t="s">
        <v>1561</v>
      </c>
    </row>
    <row r="457" spans="1:12" ht="16.5" x14ac:dyDescent="0.35">
      <c r="A457" s="106" t="str">
        <f>HYPERLINK("https://www.examplebusiness.com/resource-center/retirement/healthcare-costs-in-retirement","https://www.examplebusiness.com/resource-center/retirement/healthcare-costs-in-retirement")</f>
        <v>https://www.examplebusiness.com/resource-center/retirement/healthcare-costs-in-retirement</v>
      </c>
      <c r="B457" s="34">
        <v>4</v>
      </c>
      <c r="C457" s="34">
        <v>0</v>
      </c>
      <c r="D457" s="34">
        <v>0</v>
      </c>
      <c r="E457" s="34">
        <v>0</v>
      </c>
      <c r="F457" s="34">
        <v>200</v>
      </c>
      <c r="G457" s="34">
        <v>0</v>
      </c>
      <c r="H457" s="34"/>
      <c r="I457" s="34" t="s">
        <v>1561</v>
      </c>
      <c r="J457" s="34" t="s">
        <v>1561</v>
      </c>
      <c r="K457" s="107" t="s">
        <v>1561</v>
      </c>
      <c r="L457" s="34" t="s">
        <v>1561</v>
      </c>
    </row>
    <row r="458" spans="1:12" ht="16.5" x14ac:dyDescent="0.35">
      <c r="A458" s="106" t="str">
        <f>HYPERLINK("https://www.examplebusiness.com/resource-center/insurance/how-insurance-deductibles-work-1","https://www.examplebusiness.com/resource-center/insurance/how-insurance-deductibles-work-1")</f>
        <v>https://www.examplebusiness.com/resource-center/insurance/how-insurance-deductibles-work-1</v>
      </c>
      <c r="B458" s="34">
        <v>4</v>
      </c>
      <c r="C458" s="34">
        <v>0</v>
      </c>
      <c r="D458" s="34">
        <v>0</v>
      </c>
      <c r="E458" s="34">
        <v>0</v>
      </c>
      <c r="F458" s="34">
        <v>200</v>
      </c>
      <c r="G458" s="34">
        <v>0</v>
      </c>
      <c r="H458" s="34"/>
      <c r="I458" s="34" t="s">
        <v>1561</v>
      </c>
      <c r="J458" s="34" t="s">
        <v>1561</v>
      </c>
      <c r="K458" s="107" t="s">
        <v>1561</v>
      </c>
      <c r="L458" s="34" t="s">
        <v>1561</v>
      </c>
    </row>
    <row r="459" spans="1:12" ht="16.5" x14ac:dyDescent="0.35">
      <c r="A459" s="106" t="str">
        <f>HYPERLINK("https://www.examplebusiness.com/resource-center/money/a-penny-saved-is-two-pennies-earned","https://www.examplebusiness.com/resource-center/money/a-penny-saved-is-two-pennies-earned")</f>
        <v>https://www.examplebusiness.com/resource-center/money/a-penny-saved-is-two-pennies-earned</v>
      </c>
      <c r="B459" s="34">
        <v>4</v>
      </c>
      <c r="C459" s="34">
        <v>0</v>
      </c>
      <c r="D459" s="34">
        <v>0</v>
      </c>
      <c r="E459" s="34">
        <v>0</v>
      </c>
      <c r="F459" s="34">
        <v>200</v>
      </c>
      <c r="G459" s="34">
        <v>0</v>
      </c>
      <c r="H459" s="34"/>
      <c r="I459" s="34" t="s">
        <v>1561</v>
      </c>
      <c r="J459" s="34" t="s">
        <v>1561</v>
      </c>
      <c r="K459" s="107" t="s">
        <v>1561</v>
      </c>
      <c r="L459" s="34" t="s">
        <v>1561</v>
      </c>
    </row>
    <row r="460" spans="1:12" ht="16.5" x14ac:dyDescent="0.35">
      <c r="A460" s="106" t="str">
        <f>HYPERLINK("https://www.examplebusiness.com/resource-center/insurance/medicare-at-65","https://www.examplebusiness.com/resource-center/insurance/medicare-at-65")</f>
        <v>https://www.examplebusiness.com/resource-center/insurance/medicare-at-65</v>
      </c>
      <c r="B460" s="34">
        <v>4</v>
      </c>
      <c r="C460" s="34">
        <v>0</v>
      </c>
      <c r="D460" s="34">
        <v>0</v>
      </c>
      <c r="E460" s="34">
        <v>0</v>
      </c>
      <c r="F460" s="34">
        <v>200</v>
      </c>
      <c r="G460" s="34">
        <v>0</v>
      </c>
      <c r="H460" s="34"/>
      <c r="I460" s="34">
        <v>0</v>
      </c>
      <c r="J460" s="34">
        <v>1</v>
      </c>
      <c r="K460" s="107">
        <v>0</v>
      </c>
      <c r="L460" s="34">
        <v>22</v>
      </c>
    </row>
    <row r="461" spans="1:12" ht="16.5" x14ac:dyDescent="0.35">
      <c r="A461" s="106" t="str">
        <f>HYPERLINK("https://www.examplebusiness.com/resource-center/investment/a-taxing-story-capital-gains-and-losses","https://www.examplebusiness.com/resource-center/investment/a-taxing-story-capital-gains-and-losses")</f>
        <v>https://www.examplebusiness.com/resource-center/investment/a-taxing-story-capital-gains-and-losses</v>
      </c>
      <c r="B461" s="34">
        <v>4</v>
      </c>
      <c r="C461" s="34">
        <v>0</v>
      </c>
      <c r="D461" s="34">
        <v>0</v>
      </c>
      <c r="E461" s="34">
        <v>0</v>
      </c>
      <c r="F461" s="34">
        <v>200</v>
      </c>
      <c r="G461" s="34">
        <v>0</v>
      </c>
      <c r="H461" s="34"/>
      <c r="I461" s="34" t="s">
        <v>1561</v>
      </c>
      <c r="J461" s="34" t="s">
        <v>1561</v>
      </c>
      <c r="K461" s="107" t="s">
        <v>1561</v>
      </c>
      <c r="L461" s="34" t="s">
        <v>1561</v>
      </c>
    </row>
    <row r="462" spans="1:12" ht="16.5" x14ac:dyDescent="0.35">
      <c r="A462" s="106" t="str">
        <f>HYPERLINK("https://www.examplebusiness.com/resource-center/retirement/understanding-the-secure-act","https://www.examplebusiness.com/resource-center/retirement/understanding-the-secure-act")</f>
        <v>https://www.examplebusiness.com/resource-center/retirement/understanding-the-secure-act</v>
      </c>
      <c r="B462" s="34">
        <v>4</v>
      </c>
      <c r="C462" s="34">
        <v>0</v>
      </c>
      <c r="D462" s="34">
        <v>0</v>
      </c>
      <c r="E462" s="34">
        <v>0</v>
      </c>
      <c r="F462" s="34">
        <v>200</v>
      </c>
      <c r="G462" s="34">
        <v>0</v>
      </c>
      <c r="H462" s="34"/>
      <c r="I462" s="34" t="s">
        <v>1561</v>
      </c>
      <c r="J462" s="34" t="s">
        <v>1561</v>
      </c>
      <c r="K462" s="107" t="s">
        <v>1561</v>
      </c>
      <c r="L462" s="34" t="s">
        <v>1561</v>
      </c>
    </row>
    <row r="463" spans="1:12" ht="16.5" x14ac:dyDescent="0.35">
      <c r="A463" s="106" t="str">
        <f>HYPERLINK("https://www.examplebusiness.com/resource-center/estate/trends-in-charitable-giving","https://www.examplebusiness.com/resource-center/estate/trends-in-charitable-giving")</f>
        <v>https://www.examplebusiness.com/resource-center/estate/trends-in-charitable-giving</v>
      </c>
      <c r="B463" s="34">
        <v>4</v>
      </c>
      <c r="C463" s="34">
        <v>0</v>
      </c>
      <c r="D463" s="34">
        <v>0</v>
      </c>
      <c r="E463" s="34">
        <v>0</v>
      </c>
      <c r="F463" s="34">
        <v>200</v>
      </c>
      <c r="G463" s="34">
        <v>0</v>
      </c>
      <c r="H463" s="34"/>
      <c r="I463" s="34" t="s">
        <v>1561</v>
      </c>
      <c r="J463" s="34" t="s">
        <v>1561</v>
      </c>
      <c r="K463" s="107" t="s">
        <v>1561</v>
      </c>
      <c r="L463" s="34" t="s">
        <v>1561</v>
      </c>
    </row>
    <row r="464" spans="1:12" ht="16.5" x14ac:dyDescent="0.35">
      <c r="A464" s="106" t="str">
        <f>HYPERLINK("https://www.examplebusiness.com/resource-center/insurance/breaking-down-the-parts-of-medicare","https://www.examplebusiness.com/resource-center/insurance/breaking-down-the-parts-of-medicare")</f>
        <v>https://www.examplebusiness.com/resource-center/insurance/breaking-down-the-parts-of-medicare</v>
      </c>
      <c r="B464" s="34">
        <v>4</v>
      </c>
      <c r="C464" s="34">
        <v>0</v>
      </c>
      <c r="D464" s="34">
        <v>0</v>
      </c>
      <c r="E464" s="34">
        <v>0</v>
      </c>
      <c r="F464" s="34">
        <v>200</v>
      </c>
      <c r="G464" s="34">
        <v>0</v>
      </c>
      <c r="H464" s="34"/>
      <c r="I464" s="34" t="s">
        <v>1561</v>
      </c>
      <c r="J464" s="34" t="s">
        <v>1561</v>
      </c>
      <c r="K464" s="107" t="s">
        <v>1561</v>
      </c>
      <c r="L464" s="34" t="s">
        <v>1561</v>
      </c>
    </row>
    <row r="465" spans="1:12" ht="16.5" x14ac:dyDescent="0.35">
      <c r="A465" s="106" t="str">
        <f>HYPERLINK("https://www.examplebusiness.com/resource-center/investment/bursting-the-bubble","https://www.examplebusiness.com/resource-center/investment/bursting-the-bubble")</f>
        <v>https://www.examplebusiness.com/resource-center/investment/bursting-the-bubble</v>
      </c>
      <c r="B465" s="34">
        <v>4</v>
      </c>
      <c r="C465" s="34">
        <v>0</v>
      </c>
      <c r="D465" s="34">
        <v>0</v>
      </c>
      <c r="E465" s="34">
        <v>0</v>
      </c>
      <c r="F465" s="34">
        <v>200</v>
      </c>
      <c r="G465" s="34">
        <v>0</v>
      </c>
      <c r="H465" s="34"/>
      <c r="I465" s="34" t="s">
        <v>1561</v>
      </c>
      <c r="J465" s="34" t="s">
        <v>1561</v>
      </c>
      <c r="K465" s="107" t="s">
        <v>1561</v>
      </c>
      <c r="L465" s="34" t="s">
        <v>1561</v>
      </c>
    </row>
    <row r="466" spans="1:12" ht="16.5" x14ac:dyDescent="0.35">
      <c r="A466" s="106" t="str">
        <f>HYPERLINK("https://www.examplebusiness.com/team/nick-andresen-1","https://www.examplebusiness.com/team/nick-andresen-1")</f>
        <v>https://www.examplebusiness.com/team/nick-andresen-1</v>
      </c>
      <c r="B466" s="34">
        <v>4</v>
      </c>
      <c r="C466" s="34">
        <v>0</v>
      </c>
      <c r="D466" s="34">
        <v>0</v>
      </c>
      <c r="E466" s="34">
        <v>0</v>
      </c>
      <c r="F466" s="34">
        <v>200</v>
      </c>
      <c r="G466" s="34">
        <v>0</v>
      </c>
      <c r="H466" s="34"/>
      <c r="I466" s="34">
        <v>1</v>
      </c>
      <c r="J466" s="34">
        <v>6</v>
      </c>
      <c r="K466" s="107">
        <v>0.16669999999999999</v>
      </c>
      <c r="L466" s="34">
        <v>24.17</v>
      </c>
    </row>
    <row r="467" spans="1:12" ht="16.5" x14ac:dyDescent="0.35">
      <c r="A467" s="106" t="str">
        <f>HYPERLINK("https://www.examplebusiness.com/resource-center/estate/safeguard-your-digital-estate","https://www.examplebusiness.com/resource-center/estate/safeguard-your-digital-estate")</f>
        <v>https://www.examplebusiness.com/resource-center/estate/safeguard-your-digital-estate</v>
      </c>
      <c r="B467" s="34">
        <v>4</v>
      </c>
      <c r="C467" s="34">
        <v>0</v>
      </c>
      <c r="D467" s="34">
        <v>0</v>
      </c>
      <c r="E467" s="34">
        <v>0</v>
      </c>
      <c r="F467" s="34">
        <v>200</v>
      </c>
      <c r="G467" s="34">
        <v>0</v>
      </c>
      <c r="H467" s="34"/>
      <c r="I467" s="34" t="s">
        <v>1561</v>
      </c>
      <c r="J467" s="34" t="s">
        <v>1561</v>
      </c>
      <c r="K467" s="107" t="s">
        <v>1561</v>
      </c>
      <c r="L467" s="34" t="s">
        <v>1561</v>
      </c>
    </row>
    <row r="468" spans="1:12" ht="16.5" x14ac:dyDescent="0.35">
      <c r="A468" s="106" t="str">
        <f>HYPERLINK("https://www.examplebusiness.com/resource-center/tax/how-to-appeal-your-property-taxes","https://www.examplebusiness.com/resource-center/tax/how-to-appeal-your-property-taxes")</f>
        <v>https://www.examplebusiness.com/resource-center/tax/how-to-appeal-your-property-taxes</v>
      </c>
      <c r="B468" s="34">
        <v>4</v>
      </c>
      <c r="C468" s="34">
        <v>0</v>
      </c>
      <c r="D468" s="34">
        <v>0</v>
      </c>
      <c r="E468" s="34">
        <v>0</v>
      </c>
      <c r="F468" s="34">
        <v>200</v>
      </c>
      <c r="G468" s="34">
        <v>0</v>
      </c>
      <c r="H468" s="34"/>
      <c r="I468" s="34" t="s">
        <v>1561</v>
      </c>
      <c r="J468" s="34" t="s">
        <v>1561</v>
      </c>
      <c r="K468" s="107" t="s">
        <v>1561</v>
      </c>
      <c r="L468" s="34" t="s">
        <v>1561</v>
      </c>
    </row>
    <row r="469" spans="1:12" ht="16.5" x14ac:dyDescent="0.35">
      <c r="A469" s="106" t="str">
        <f>HYPERLINK("https://www.examplebusiness.com/resource-center/investment/the-economic-report-of-the-president","https://www.examplebusiness.com/resource-center/investment/the-economic-report-of-the-president")</f>
        <v>https://www.examplebusiness.com/resource-center/investment/the-economic-report-of-the-president</v>
      </c>
      <c r="B469" s="34">
        <v>4</v>
      </c>
      <c r="C469" s="34">
        <v>0</v>
      </c>
      <c r="D469" s="34">
        <v>0</v>
      </c>
      <c r="E469" s="34">
        <v>0</v>
      </c>
      <c r="F469" s="34">
        <v>200</v>
      </c>
      <c r="G469" s="34">
        <v>0</v>
      </c>
      <c r="H469" s="34"/>
      <c r="I469" s="34" t="s">
        <v>1561</v>
      </c>
      <c r="J469" s="34" t="s">
        <v>1561</v>
      </c>
      <c r="K469" s="107" t="s">
        <v>1561</v>
      </c>
      <c r="L469" s="34" t="s">
        <v>1561</v>
      </c>
    </row>
    <row r="470" spans="1:12" ht="16.5" x14ac:dyDescent="0.35">
      <c r="A470" s="106" t="str">
        <f>HYPERLINK("https://www.examplebusiness.com/resource-center/investment/what-can-a-million-dollars-buy-you","https://www.examplebusiness.com/resource-center/investment/what-can-a-million-dollars-buy-you")</f>
        <v>https://www.examplebusiness.com/resource-center/investment/what-can-a-million-dollars-buy-you</v>
      </c>
      <c r="B470" s="34">
        <v>4</v>
      </c>
      <c r="C470" s="34">
        <v>0</v>
      </c>
      <c r="D470" s="34">
        <v>0</v>
      </c>
      <c r="E470" s="34">
        <v>0</v>
      </c>
      <c r="F470" s="34">
        <v>200</v>
      </c>
      <c r="G470" s="34">
        <v>0</v>
      </c>
      <c r="H470" s="34"/>
      <c r="I470" s="34">
        <v>0</v>
      </c>
      <c r="J470" s="34">
        <v>1</v>
      </c>
      <c r="K470" s="107">
        <v>0</v>
      </c>
      <c r="L470" s="34">
        <v>9</v>
      </c>
    </row>
    <row r="471" spans="1:12" ht="16.5" x14ac:dyDescent="0.35">
      <c r="A471" s="106" t="str">
        <f>HYPERLINK("https://www.examplebusiness.com/resource-center/retirement/money-that-buys-good-health","https://www.examplebusiness.com/resource-center/retirement/money-that-buys-good-health")</f>
        <v>https://www.examplebusiness.com/resource-center/retirement/money-that-buys-good-health</v>
      </c>
      <c r="B471" s="34">
        <v>4</v>
      </c>
      <c r="C471" s="34">
        <v>0</v>
      </c>
      <c r="D471" s="34">
        <v>0</v>
      </c>
      <c r="E471" s="34">
        <v>0</v>
      </c>
      <c r="F471" s="34">
        <v>200</v>
      </c>
      <c r="G471" s="34">
        <v>0</v>
      </c>
      <c r="H471" s="34"/>
      <c r="I471" s="34" t="s">
        <v>1561</v>
      </c>
      <c r="J471" s="34" t="s">
        <v>1561</v>
      </c>
      <c r="K471" s="107" t="s">
        <v>1561</v>
      </c>
      <c r="L471" s="34" t="s">
        <v>1561</v>
      </c>
    </row>
    <row r="472" spans="1:12" ht="16.5" x14ac:dyDescent="0.35">
      <c r="A472" s="106" t="str">
        <f>HYPERLINK("https://www.examplebusiness.com/resource-center/tax/does-your-child-need-to-file-a-tax-return","https://www.examplebusiness.com/resource-center/tax/does-your-child-need-to-file-a-tax-return")</f>
        <v>https://www.examplebusiness.com/resource-center/tax/does-your-child-need-to-file-a-tax-return</v>
      </c>
      <c r="B472" s="34">
        <v>4</v>
      </c>
      <c r="C472" s="34">
        <v>0</v>
      </c>
      <c r="D472" s="34">
        <v>0</v>
      </c>
      <c r="E472" s="34">
        <v>0</v>
      </c>
      <c r="F472" s="34">
        <v>200</v>
      </c>
      <c r="G472" s="34">
        <v>0</v>
      </c>
      <c r="H472" s="34"/>
      <c r="I472" s="34">
        <v>0</v>
      </c>
      <c r="J472" s="34">
        <v>1</v>
      </c>
      <c r="K472" s="107">
        <v>0</v>
      </c>
      <c r="L472" s="34">
        <v>89</v>
      </c>
    </row>
    <row r="473" spans="1:12" ht="16.5" x14ac:dyDescent="0.35">
      <c r="A473" s="106" t="str">
        <f>HYPERLINK("https://www.examplebusiness.com/blog/how-our-economy-can-bounce-back","https://www.examplebusiness.com/blog/how-our-economy-can-bounce-back")</f>
        <v>https://www.examplebusiness.com/blog/how-our-economy-can-bounce-back</v>
      </c>
      <c r="B473" s="34">
        <v>4</v>
      </c>
      <c r="C473" s="34">
        <v>0</v>
      </c>
      <c r="D473" s="34">
        <v>0</v>
      </c>
      <c r="E473" s="34">
        <v>0</v>
      </c>
      <c r="F473" s="34">
        <v>200</v>
      </c>
      <c r="G473" s="34">
        <v>0</v>
      </c>
      <c r="H473" s="34"/>
      <c r="I473" s="34" t="s">
        <v>1561</v>
      </c>
      <c r="J473" s="34" t="s">
        <v>1561</v>
      </c>
      <c r="K473" s="107" t="s">
        <v>1561</v>
      </c>
      <c r="L473" s="34" t="s">
        <v>1561</v>
      </c>
    </row>
    <row r="474" spans="1:12" ht="16.5" x14ac:dyDescent="0.35">
      <c r="A474" s="106" t="str">
        <f>HYPERLINK("https://www.examplebusiness.com/resource-center/investment/alternative-investments-going-mainstream","https://www.examplebusiness.com/resource-center/investment/alternative-investments-going-mainstream")</f>
        <v>https://www.examplebusiness.com/resource-center/investment/alternative-investments-going-mainstream</v>
      </c>
      <c r="B474" s="34">
        <v>4</v>
      </c>
      <c r="C474" s="34">
        <v>0</v>
      </c>
      <c r="D474" s="34">
        <v>0</v>
      </c>
      <c r="E474" s="34">
        <v>0</v>
      </c>
      <c r="F474" s="34">
        <v>200</v>
      </c>
      <c r="G474" s="34">
        <v>0</v>
      </c>
      <c r="H474" s="34"/>
      <c r="I474" s="34" t="s">
        <v>1561</v>
      </c>
      <c r="J474" s="34" t="s">
        <v>1561</v>
      </c>
      <c r="K474" s="107" t="s">
        <v>1561</v>
      </c>
      <c r="L474" s="34" t="s">
        <v>1561</v>
      </c>
    </row>
    <row r="475" spans="1:12" ht="16.5" x14ac:dyDescent="0.35">
      <c r="A475" s="106" t="str">
        <f>HYPERLINK("https://www.examplebusiness.com/resource-center/tax/how-to-make-the-tax-code-work-for-you","https://www.examplebusiness.com/resource-center/tax/how-to-make-the-tax-code-work-for-you")</f>
        <v>https://www.examplebusiness.com/resource-center/tax/how-to-make-the-tax-code-work-for-you</v>
      </c>
      <c r="B475" s="34">
        <v>4</v>
      </c>
      <c r="C475" s="34">
        <v>0</v>
      </c>
      <c r="D475" s="34">
        <v>0</v>
      </c>
      <c r="E475" s="34">
        <v>0</v>
      </c>
      <c r="F475" s="34">
        <v>200</v>
      </c>
      <c r="G475" s="34">
        <v>0</v>
      </c>
      <c r="H475" s="34"/>
      <c r="I475" s="34">
        <v>0</v>
      </c>
      <c r="J475" s="34">
        <v>1</v>
      </c>
      <c r="K475" s="107">
        <v>0</v>
      </c>
      <c r="L475" s="34">
        <v>7</v>
      </c>
    </row>
    <row r="476" spans="1:12" ht="16.5" x14ac:dyDescent="0.35">
      <c r="A476" s="106" t="str">
        <f>HYPERLINK("https://www.examplebusiness.com/blog/how-to-reduce-retirement-anxiety","https://www.examplebusiness.com/blog/how-to-reduce-retirement-anxiety")</f>
        <v>https://www.examplebusiness.com/blog/how-to-reduce-retirement-anxiety</v>
      </c>
      <c r="B476" s="34">
        <v>4</v>
      </c>
      <c r="C476" s="34">
        <v>0</v>
      </c>
      <c r="D476" s="34">
        <v>0</v>
      </c>
      <c r="E476" s="34">
        <v>0</v>
      </c>
      <c r="F476" s="34">
        <v>200</v>
      </c>
      <c r="G476" s="34">
        <v>0</v>
      </c>
      <c r="H476" s="34"/>
      <c r="I476" s="34">
        <v>0</v>
      </c>
      <c r="J476" s="34">
        <v>3</v>
      </c>
      <c r="K476" s="107">
        <v>0</v>
      </c>
      <c r="L476" s="34">
        <v>75.33</v>
      </c>
    </row>
    <row r="477" spans="1:12" ht="16.5" x14ac:dyDescent="0.35">
      <c r="A477" s="106" t="str">
        <f>HYPERLINK("https://www.examplebusiness.com/team/jeff-thompson-1","https://www.examplebusiness.com/team/jeff-thompson-1")</f>
        <v>https://www.examplebusiness.com/team/jeff-thompson-1</v>
      </c>
      <c r="B477" s="34">
        <v>4</v>
      </c>
      <c r="C477" s="34">
        <v>0</v>
      </c>
      <c r="D477" s="34">
        <v>0</v>
      </c>
      <c r="E477" s="34">
        <v>0</v>
      </c>
      <c r="F477" s="34">
        <v>200</v>
      </c>
      <c r="G477" s="34">
        <v>0</v>
      </c>
      <c r="H477" s="34"/>
      <c r="I477" s="34">
        <v>0</v>
      </c>
      <c r="J477" s="34">
        <v>50</v>
      </c>
      <c r="K477" s="107">
        <v>0</v>
      </c>
      <c r="L477" s="34">
        <v>42.9</v>
      </c>
    </row>
    <row r="478" spans="1:12" ht="16.5" x14ac:dyDescent="0.35">
      <c r="A478" s="106" t="str">
        <f>HYPERLINK("https://www.examplebusiness.com/resource-center/lifestyle/can-i-refinance-my-mortgage","https://www.examplebusiness.com/resource-center/lifestyle/can-i-refinance-my-mortgage")</f>
        <v>https://www.examplebusiness.com/resource-center/lifestyle/can-i-refinance-my-mortgage</v>
      </c>
      <c r="B478" s="34">
        <v>4</v>
      </c>
      <c r="C478" s="34">
        <v>0</v>
      </c>
      <c r="D478" s="34">
        <v>0</v>
      </c>
      <c r="E478" s="34">
        <v>0</v>
      </c>
      <c r="F478" s="34">
        <v>200</v>
      </c>
      <c r="G478" s="34">
        <v>0</v>
      </c>
      <c r="H478" s="34"/>
      <c r="I478" s="34" t="s">
        <v>1561</v>
      </c>
      <c r="J478" s="34" t="s">
        <v>1561</v>
      </c>
      <c r="K478" s="107" t="s">
        <v>1561</v>
      </c>
      <c r="L478" s="34" t="s">
        <v>1561</v>
      </c>
    </row>
    <row r="479" spans="1:12" ht="16.5" x14ac:dyDescent="0.35">
      <c r="A479" s="106" t="str">
        <f>HYPERLINK("https://www.examplebusiness.com/blog/30-important-questions-to-answer-about-your-will","https://www.examplebusiness.com/blog/30-important-questions-to-answer-about-your-will")</f>
        <v>https://www.examplebusiness.com/blog/30-important-questions-to-answer-about-your-will</v>
      </c>
      <c r="B479" s="34">
        <v>4</v>
      </c>
      <c r="C479" s="34">
        <v>0</v>
      </c>
      <c r="D479" s="34">
        <v>0</v>
      </c>
      <c r="E479" s="34">
        <v>0</v>
      </c>
      <c r="F479" s="34">
        <v>200</v>
      </c>
      <c r="G479" s="34">
        <v>0</v>
      </c>
      <c r="H479" s="34"/>
      <c r="I479" s="34">
        <v>0</v>
      </c>
      <c r="J479" s="34">
        <v>1</v>
      </c>
      <c r="K479" s="107">
        <v>0</v>
      </c>
      <c r="L479" s="34">
        <v>58</v>
      </c>
    </row>
    <row r="480" spans="1:12" ht="16.5" x14ac:dyDescent="0.35">
      <c r="A480" s="106" t="str">
        <f>HYPERLINK("https://www.examplebusiness.com/blog/retirement-income-planning","https://www.examplebusiness.com/blog/retirement-income-planning")</f>
        <v>https://www.examplebusiness.com/blog/retirement-income-planning</v>
      </c>
      <c r="B480" s="34">
        <v>4</v>
      </c>
      <c r="C480" s="34">
        <v>0</v>
      </c>
      <c r="D480" s="34">
        <v>0</v>
      </c>
      <c r="E480" s="34">
        <v>0</v>
      </c>
      <c r="F480" s="34">
        <v>200</v>
      </c>
      <c r="G480" s="34">
        <v>0</v>
      </c>
      <c r="H480" s="34"/>
      <c r="I480" s="34" t="s">
        <v>1561</v>
      </c>
      <c r="J480" s="34" t="s">
        <v>1561</v>
      </c>
      <c r="K480" s="107" t="s">
        <v>1561</v>
      </c>
      <c r="L480" s="34" t="s">
        <v>1561</v>
      </c>
    </row>
    <row r="481" spans="1:12" ht="16.5" x14ac:dyDescent="0.35">
      <c r="A481" s="106" t="str">
        <f>HYPERLINK("https://www.examplebusiness.com/resource-center/money/budget-check-up-tax-time-is-the-right-time","https://www.examplebusiness.com/resource-center/money/budget-check-up-tax-time-is-the-right-time")</f>
        <v>https://www.examplebusiness.com/resource-center/money/budget-check-up-tax-time-is-the-right-time</v>
      </c>
      <c r="B481" s="34">
        <v>4</v>
      </c>
      <c r="C481" s="34">
        <v>0</v>
      </c>
      <c r="D481" s="34">
        <v>0</v>
      </c>
      <c r="E481" s="34">
        <v>0</v>
      </c>
      <c r="F481" s="34">
        <v>200</v>
      </c>
      <c r="G481" s="34">
        <v>0</v>
      </c>
      <c r="H481" s="34"/>
      <c r="I481" s="34" t="s">
        <v>1561</v>
      </c>
      <c r="J481" s="34" t="s">
        <v>1561</v>
      </c>
      <c r="K481" s="107" t="s">
        <v>1561</v>
      </c>
      <c r="L481" s="34" t="s">
        <v>1561</v>
      </c>
    </row>
    <row r="482" spans="1:12" ht="16.5" x14ac:dyDescent="0.35">
      <c r="A482" s="106" t="str">
        <f>HYPERLINK("https://www.examplebusiness.com/resource-center/insurance/when-does-your-personal-car-become-a-commercial-vehicle","https://www.examplebusiness.com/resource-center/insurance/when-does-your-personal-car-become-a-commercial-vehicle")</f>
        <v>https://www.examplebusiness.com/resource-center/insurance/when-does-your-personal-car-become-a-commercial-vehicle</v>
      </c>
      <c r="B482" s="34">
        <v>4</v>
      </c>
      <c r="C482" s="34">
        <v>0</v>
      </c>
      <c r="D482" s="34">
        <v>0</v>
      </c>
      <c r="E482" s="34">
        <v>0</v>
      </c>
      <c r="F482" s="34">
        <v>200</v>
      </c>
      <c r="G482" s="34">
        <v>0</v>
      </c>
      <c r="H482" s="34"/>
      <c r="I482" s="34" t="s">
        <v>1561</v>
      </c>
      <c r="J482" s="34" t="s">
        <v>1561</v>
      </c>
      <c r="K482" s="107" t="s">
        <v>1561</v>
      </c>
      <c r="L482" s="34" t="s">
        <v>1561</v>
      </c>
    </row>
    <row r="483" spans="1:12" ht="16.5" x14ac:dyDescent="0.35">
      <c r="A483" s="106" t="str">
        <f>HYPERLINK("https://www.examplebusiness.com/resource-center/money/the-latte-lie-and-other-myths","https://www.examplebusiness.com/resource-center/money/the-latte-lie-and-other-myths")</f>
        <v>https://www.examplebusiness.com/resource-center/money/the-latte-lie-and-other-myths</v>
      </c>
      <c r="B483" s="34">
        <v>4</v>
      </c>
      <c r="C483" s="34">
        <v>0</v>
      </c>
      <c r="D483" s="34">
        <v>0</v>
      </c>
      <c r="E483" s="34">
        <v>0</v>
      </c>
      <c r="F483" s="34">
        <v>200</v>
      </c>
      <c r="G483" s="34">
        <v>0</v>
      </c>
      <c r="H483" s="34"/>
      <c r="I483" s="34" t="s">
        <v>1561</v>
      </c>
      <c r="J483" s="34" t="s">
        <v>1561</v>
      </c>
      <c r="K483" s="107" t="s">
        <v>1561</v>
      </c>
      <c r="L483" s="34" t="s">
        <v>1561</v>
      </c>
    </row>
    <row r="484" spans="1:12" ht="16.5" x14ac:dyDescent="0.35">
      <c r="A484" s="106" t="str">
        <f>HYPERLINK("https://www.examplebusiness.com/resource-center/insurance/replacing-your-medicare-card","https://www.examplebusiness.com/resource-center/insurance/replacing-your-medicare-card")</f>
        <v>https://www.examplebusiness.com/resource-center/insurance/replacing-your-medicare-card</v>
      </c>
      <c r="B484" s="34">
        <v>4</v>
      </c>
      <c r="C484" s="34">
        <v>0</v>
      </c>
      <c r="D484" s="34">
        <v>0</v>
      </c>
      <c r="E484" s="34">
        <v>0</v>
      </c>
      <c r="F484" s="34">
        <v>200</v>
      </c>
      <c r="G484" s="34">
        <v>0</v>
      </c>
      <c r="H484" s="34"/>
      <c r="I484" s="34" t="s">
        <v>1561</v>
      </c>
      <c r="J484" s="34" t="s">
        <v>1561</v>
      </c>
      <c r="K484" s="107" t="s">
        <v>1561</v>
      </c>
      <c r="L484" s="34" t="s">
        <v>1561</v>
      </c>
    </row>
    <row r="485" spans="1:12" ht="16.5" x14ac:dyDescent="0.35">
      <c r="A485" s="106" t="str">
        <f>HYPERLINK("https://www.examplebusiness.com/resource-center/insurance/the-value-of-insuring-against-lifes-risks","https://www.examplebusiness.com/resource-center/insurance/the-value-of-insuring-against-lifes-risks")</f>
        <v>https://www.examplebusiness.com/resource-center/insurance/the-value-of-insuring-against-lifes-risks</v>
      </c>
      <c r="B485" s="34">
        <v>4</v>
      </c>
      <c r="C485" s="34">
        <v>0</v>
      </c>
      <c r="D485" s="34">
        <v>0</v>
      </c>
      <c r="E485" s="34">
        <v>0</v>
      </c>
      <c r="F485" s="34">
        <v>200</v>
      </c>
      <c r="G485" s="34">
        <v>0</v>
      </c>
      <c r="H485" s="34"/>
      <c r="I485" s="34" t="s">
        <v>1561</v>
      </c>
      <c r="J485" s="34" t="s">
        <v>1561</v>
      </c>
      <c r="K485" s="107" t="s">
        <v>1561</v>
      </c>
      <c r="L485" s="34" t="s">
        <v>1561</v>
      </c>
    </row>
    <row r="486" spans="1:12" ht="16.5" x14ac:dyDescent="0.35">
      <c r="A486" s="106" t="str">
        <f>HYPERLINK("https://www.examplebusiness.com/resource-center/insurance/when-life-insurance-becomes-taxable","https://www.examplebusiness.com/resource-center/insurance/when-life-insurance-becomes-taxable")</f>
        <v>https://www.examplebusiness.com/resource-center/insurance/when-life-insurance-becomes-taxable</v>
      </c>
      <c r="B486" s="34">
        <v>4</v>
      </c>
      <c r="C486" s="34">
        <v>0</v>
      </c>
      <c r="D486" s="34">
        <v>0</v>
      </c>
      <c r="E486" s="34">
        <v>0</v>
      </c>
      <c r="F486" s="34">
        <v>200</v>
      </c>
      <c r="G486" s="34">
        <v>0</v>
      </c>
      <c r="H486" s="34"/>
      <c r="I486" s="34" t="s">
        <v>1561</v>
      </c>
      <c r="J486" s="34" t="s">
        <v>1561</v>
      </c>
      <c r="K486" s="107" t="s">
        <v>1561</v>
      </c>
      <c r="L486" s="34" t="s">
        <v>1561</v>
      </c>
    </row>
    <row r="487" spans="1:12" ht="16.5" x14ac:dyDescent="0.35">
      <c r="A487" s="106" t="str">
        <f>HYPERLINK("https://www.examplebusiness.com/resource-center/retirement/retiring-in-a-post-pandemic-world","https://www.examplebusiness.com/resource-center/retirement/retiring-in-a-post-pandemic-world")</f>
        <v>https://www.examplebusiness.com/resource-center/retirement/retiring-in-a-post-pandemic-world</v>
      </c>
      <c r="B487" s="34">
        <v>4</v>
      </c>
      <c r="C487" s="34">
        <v>0</v>
      </c>
      <c r="D487" s="34">
        <v>0</v>
      </c>
      <c r="E487" s="34">
        <v>0</v>
      </c>
      <c r="F487" s="34">
        <v>200</v>
      </c>
      <c r="G487" s="34">
        <v>0</v>
      </c>
      <c r="H487" s="34"/>
      <c r="I487" s="34" t="s">
        <v>1561</v>
      </c>
      <c r="J487" s="34" t="s">
        <v>1561</v>
      </c>
      <c r="K487" s="107" t="s">
        <v>1561</v>
      </c>
      <c r="L487" s="34" t="s">
        <v>1561</v>
      </c>
    </row>
    <row r="488" spans="1:12" ht="16.5" x14ac:dyDescent="0.35">
      <c r="A488" s="106" t="str">
        <f>HYPERLINK("https://www.examplebusiness.com/blog/positive-signs-from-china-on-covid-19","https://www.examplebusiness.com/blog/positive-signs-from-china-on-covid-19")</f>
        <v>https://www.examplebusiness.com/blog/positive-signs-from-china-on-covid-19</v>
      </c>
      <c r="B488" s="34">
        <v>4</v>
      </c>
      <c r="C488" s="34">
        <v>0</v>
      </c>
      <c r="D488" s="34">
        <v>0</v>
      </c>
      <c r="E488" s="34">
        <v>0</v>
      </c>
      <c r="F488" s="34">
        <v>200</v>
      </c>
      <c r="G488" s="34">
        <v>0</v>
      </c>
      <c r="H488" s="34"/>
      <c r="I488" s="34" t="s">
        <v>1561</v>
      </c>
      <c r="J488" s="34" t="s">
        <v>1561</v>
      </c>
      <c r="K488" s="107" t="s">
        <v>1561</v>
      </c>
      <c r="L488" s="34" t="s">
        <v>1561</v>
      </c>
    </row>
    <row r="489" spans="1:12" ht="16.5" x14ac:dyDescent="0.35">
      <c r="A489" s="106" t="str">
        <f>HYPERLINK("https://www.examplebusiness.com/blog/5-important-financial-resolutions-for-2019","https://www.examplebusiness.com/blog/5-important-financial-resolutions-for-2019")</f>
        <v>https://www.examplebusiness.com/blog/5-important-financial-resolutions-for-2019</v>
      </c>
      <c r="B489" s="34">
        <v>4</v>
      </c>
      <c r="C489" s="34">
        <v>0</v>
      </c>
      <c r="D489" s="34">
        <v>0</v>
      </c>
      <c r="E489" s="34">
        <v>0</v>
      </c>
      <c r="F489" s="34">
        <v>200</v>
      </c>
      <c r="G489" s="34">
        <v>0</v>
      </c>
      <c r="H489" s="34"/>
      <c r="I489" s="34" t="s">
        <v>1561</v>
      </c>
      <c r="J489" s="34" t="s">
        <v>1561</v>
      </c>
      <c r="K489" s="107" t="s">
        <v>1561</v>
      </c>
      <c r="L489" s="34" t="s">
        <v>1561</v>
      </c>
    </row>
    <row r="490" spans="1:12" ht="16.5" x14ac:dyDescent="0.35">
      <c r="A490" s="106" t="str">
        <f>HYPERLINK("https://www.examplebusiness.com/resource-center/retirement/lesser-known-provisions-of-the-secure-act","https://www.examplebusiness.com/resource-center/retirement/lesser-known-provisions-of-the-secure-act")</f>
        <v>https://www.examplebusiness.com/resource-center/retirement/lesser-known-provisions-of-the-secure-act</v>
      </c>
      <c r="B490" s="34">
        <v>4</v>
      </c>
      <c r="C490" s="34">
        <v>0</v>
      </c>
      <c r="D490" s="34">
        <v>0</v>
      </c>
      <c r="E490" s="34">
        <v>0</v>
      </c>
      <c r="F490" s="34">
        <v>200</v>
      </c>
      <c r="G490" s="34">
        <v>0</v>
      </c>
      <c r="H490" s="34"/>
      <c r="I490" s="34" t="s">
        <v>1561</v>
      </c>
      <c r="J490" s="34" t="s">
        <v>1561</v>
      </c>
      <c r="K490" s="107" t="s">
        <v>1561</v>
      </c>
      <c r="L490" s="34" t="s">
        <v>1561</v>
      </c>
    </row>
    <row r="491" spans="1:12" ht="16.5" x14ac:dyDescent="0.35">
      <c r="A491" s="106" t="str">
        <f>HYPERLINK("https://www.examplebusiness.com/blog/when-will-the-recession-officially-start","https://www.examplebusiness.com/blog/when-will-the-recession-officially-start")</f>
        <v>https://www.examplebusiness.com/blog/when-will-the-recession-officially-start</v>
      </c>
      <c r="B491" s="34">
        <v>4</v>
      </c>
      <c r="C491" s="34">
        <v>0</v>
      </c>
      <c r="D491" s="34">
        <v>0</v>
      </c>
      <c r="E491" s="34">
        <v>0</v>
      </c>
      <c r="F491" s="34">
        <v>200</v>
      </c>
      <c r="G491" s="34">
        <v>0</v>
      </c>
      <c r="H491" s="34"/>
      <c r="I491" s="34">
        <v>0</v>
      </c>
      <c r="J491" s="34">
        <v>18</v>
      </c>
      <c r="K491" s="107">
        <v>0</v>
      </c>
      <c r="L491" s="34">
        <v>45.83</v>
      </c>
    </row>
    <row r="492" spans="1:12" ht="16.5" x14ac:dyDescent="0.35">
      <c r="A492" s="106" t="str">
        <f>HYPERLINK("https://www.examplebusiness.com/resource-center/estate/four-steps-to-valuing-an-estate","https://www.examplebusiness.com/resource-center/estate/four-steps-to-valuing-an-estate")</f>
        <v>https://www.examplebusiness.com/resource-center/estate/four-steps-to-valuing-an-estate</v>
      </c>
      <c r="B492" s="34">
        <v>4</v>
      </c>
      <c r="C492" s="34">
        <v>0</v>
      </c>
      <c r="D492" s="34">
        <v>0</v>
      </c>
      <c r="E492" s="34">
        <v>0</v>
      </c>
      <c r="F492" s="34">
        <v>200</v>
      </c>
      <c r="G492" s="34">
        <v>0</v>
      </c>
      <c r="H492" s="34"/>
      <c r="I492" s="34" t="s">
        <v>1561</v>
      </c>
      <c r="J492" s="34" t="s">
        <v>1561</v>
      </c>
      <c r="K492" s="107" t="s">
        <v>1561</v>
      </c>
      <c r="L492" s="34" t="s">
        <v>1561</v>
      </c>
    </row>
    <row r="493" spans="1:12" ht="16.5" x14ac:dyDescent="0.35">
      <c r="A493" s="106" t="str">
        <f>HYPERLINK("https://www.examplebusiness.com/resource-center/investment/you-would-rather-be","https://www.examplebusiness.com/resource-center/investment/you-would-rather-be")</f>
        <v>https://www.examplebusiness.com/resource-center/investment/you-would-rather-be</v>
      </c>
      <c r="B493" s="34">
        <v>4</v>
      </c>
      <c r="C493" s="34">
        <v>0</v>
      </c>
      <c r="D493" s="34">
        <v>0</v>
      </c>
      <c r="E493" s="34">
        <v>0</v>
      </c>
      <c r="F493" s="34">
        <v>200</v>
      </c>
      <c r="G493" s="34">
        <v>0</v>
      </c>
      <c r="H493" s="34"/>
      <c r="I493" s="34" t="s">
        <v>1561</v>
      </c>
      <c r="J493" s="34" t="s">
        <v>1561</v>
      </c>
      <c r="K493" s="107" t="s">
        <v>1561</v>
      </c>
      <c r="L493" s="34" t="s">
        <v>1561</v>
      </c>
    </row>
    <row r="494" spans="1:12" ht="16.5" x14ac:dyDescent="0.35">
      <c r="A494" s="106" t="str">
        <f>HYPERLINK("https://www.examplebusiness.com/resource-center/retirement/encore-careers-push-your-boundaries","https://www.examplebusiness.com/resource-center/retirement/encore-careers-push-your-boundaries")</f>
        <v>https://www.examplebusiness.com/resource-center/retirement/encore-careers-push-your-boundaries</v>
      </c>
      <c r="B494" s="34">
        <v>4</v>
      </c>
      <c r="C494" s="34">
        <v>0</v>
      </c>
      <c r="D494" s="34">
        <v>0</v>
      </c>
      <c r="E494" s="34">
        <v>0</v>
      </c>
      <c r="F494" s="34">
        <v>200</v>
      </c>
      <c r="G494" s="34">
        <v>0</v>
      </c>
      <c r="H494" s="34"/>
      <c r="I494" s="34" t="s">
        <v>1561</v>
      </c>
      <c r="J494" s="34" t="s">
        <v>1561</v>
      </c>
      <c r="K494" s="107" t="s">
        <v>1561</v>
      </c>
      <c r="L494" s="34" t="s">
        <v>1561</v>
      </c>
    </row>
    <row r="495" spans="1:12" ht="16.5" x14ac:dyDescent="0.35">
      <c r="A495" s="106" t="str">
        <f>HYPERLINK("https://www.examplebusiness.com/resource-center/estate/choosing-a-business-structure","https://www.examplebusiness.com/resource-center/estate/choosing-a-business-structure")</f>
        <v>https://www.examplebusiness.com/resource-center/estate/choosing-a-business-structure</v>
      </c>
      <c r="B495" s="34">
        <v>4</v>
      </c>
      <c r="C495" s="34">
        <v>0</v>
      </c>
      <c r="D495" s="34">
        <v>0</v>
      </c>
      <c r="E495" s="34">
        <v>0</v>
      </c>
      <c r="F495" s="34">
        <v>200</v>
      </c>
      <c r="G495" s="34">
        <v>0</v>
      </c>
      <c r="H495" s="34"/>
      <c r="I495" s="34" t="s">
        <v>1561</v>
      </c>
      <c r="J495" s="34" t="s">
        <v>1561</v>
      </c>
      <c r="K495" s="107" t="s">
        <v>1561</v>
      </c>
      <c r="L495" s="34" t="s">
        <v>1561</v>
      </c>
    </row>
    <row r="496" spans="1:12" ht="16.5" x14ac:dyDescent="0.35">
      <c r="A496" s="106" t="str">
        <f>HYPERLINK("https://www.examplebusiness.com/blog/wheres-your-spouse","https://www.examplebusiness.com/blog/wheres-your-spouse")</f>
        <v>https://www.examplebusiness.com/blog/wheres-your-spouse</v>
      </c>
      <c r="B496" s="34">
        <v>4</v>
      </c>
      <c r="C496" s="34">
        <v>0</v>
      </c>
      <c r="D496" s="34">
        <v>0</v>
      </c>
      <c r="E496" s="34">
        <v>0</v>
      </c>
      <c r="F496" s="34">
        <v>200</v>
      </c>
      <c r="G496" s="34">
        <v>0</v>
      </c>
      <c r="H496" s="34"/>
      <c r="I496" s="34" t="s">
        <v>1561</v>
      </c>
      <c r="J496" s="34" t="s">
        <v>1561</v>
      </c>
      <c r="K496" s="107" t="s">
        <v>1561</v>
      </c>
      <c r="L496" s="34" t="s">
        <v>1561</v>
      </c>
    </row>
    <row r="497" spans="1:12" ht="16.5" x14ac:dyDescent="0.35">
      <c r="A497" s="106" t="str">
        <f>HYPERLINK("https://www.examplebusiness.com/blog/tax-identity-theft-awareness-protecting-yourself-from-tax-identity-theft","https://www.examplebusiness.com/blog/tax-identity-theft-awareness-protecting-yourself-from-tax-identity-theft")</f>
        <v>https://www.examplebusiness.com/blog/tax-identity-theft-awareness-protecting-yourself-from-tax-identity-theft</v>
      </c>
      <c r="B497" s="34">
        <v>4</v>
      </c>
      <c r="C497" s="34">
        <v>0</v>
      </c>
      <c r="D497" s="34">
        <v>0</v>
      </c>
      <c r="E497" s="34">
        <v>0</v>
      </c>
      <c r="F497" s="34">
        <v>200</v>
      </c>
      <c r="G497" s="34">
        <v>0</v>
      </c>
      <c r="H497" s="34"/>
      <c r="I497" s="34" t="s">
        <v>1561</v>
      </c>
      <c r="J497" s="34" t="s">
        <v>1561</v>
      </c>
      <c r="K497" s="107" t="s">
        <v>1561</v>
      </c>
      <c r="L497" s="34" t="s">
        <v>1561</v>
      </c>
    </row>
    <row r="498" spans="1:12" ht="16.5" x14ac:dyDescent="0.35">
      <c r="A498" s="106" t="str">
        <f>HYPERLINK("https://www.examplebusiness.com/resource-center/retirement/401k-choices-at-a-former-employer","https://www.examplebusiness.com/resource-center/retirement/401k-choices-at-a-former-employer")</f>
        <v>https://www.examplebusiness.com/resource-center/retirement/401k-choices-at-a-former-employer</v>
      </c>
      <c r="B498" s="34">
        <v>4</v>
      </c>
      <c r="C498" s="34">
        <v>0</v>
      </c>
      <c r="D498" s="34">
        <v>0</v>
      </c>
      <c r="E498" s="34">
        <v>0</v>
      </c>
      <c r="F498" s="34">
        <v>200</v>
      </c>
      <c r="G498" s="34">
        <v>0</v>
      </c>
      <c r="H498" s="34"/>
      <c r="I498" s="34" t="s">
        <v>1561</v>
      </c>
      <c r="J498" s="34" t="s">
        <v>1561</v>
      </c>
      <c r="K498" s="107" t="s">
        <v>1561</v>
      </c>
      <c r="L498" s="34" t="s">
        <v>1561</v>
      </c>
    </row>
    <row r="499" spans="1:12" ht="16.5" x14ac:dyDescent="0.35">
      <c r="A499" s="106" t="str">
        <f>HYPERLINK("https://www.examplebusiness.com/resource-center/investment/emerging-market-opportunities","https://www.examplebusiness.com/resource-center/investment/emerging-market-opportunities")</f>
        <v>https://www.examplebusiness.com/resource-center/investment/emerging-market-opportunities</v>
      </c>
      <c r="B499" s="34">
        <v>4</v>
      </c>
      <c r="C499" s="34">
        <v>0</v>
      </c>
      <c r="D499" s="34">
        <v>0</v>
      </c>
      <c r="E499" s="34">
        <v>0</v>
      </c>
      <c r="F499" s="34">
        <v>200</v>
      </c>
      <c r="G499" s="34">
        <v>0</v>
      </c>
      <c r="H499" s="34"/>
      <c r="I499" s="34" t="s">
        <v>1561</v>
      </c>
      <c r="J499" s="34" t="s">
        <v>1561</v>
      </c>
      <c r="K499" s="107" t="s">
        <v>1561</v>
      </c>
      <c r="L499" s="34" t="s">
        <v>1561</v>
      </c>
    </row>
    <row r="500" spans="1:12" ht="16.5" x14ac:dyDescent="0.35">
      <c r="A500" s="106" t="str">
        <f>HYPERLINK("https://www.examplebusiness.com/resource-center/insurance/insurance-following-a-divorce","https://www.examplebusiness.com/resource-center/insurance/insurance-following-a-divorce")</f>
        <v>https://www.examplebusiness.com/resource-center/insurance/insurance-following-a-divorce</v>
      </c>
      <c r="B500" s="34">
        <v>4</v>
      </c>
      <c r="C500" s="34">
        <v>0</v>
      </c>
      <c r="D500" s="34">
        <v>0</v>
      </c>
      <c r="E500" s="34">
        <v>0</v>
      </c>
      <c r="F500" s="34">
        <v>200</v>
      </c>
      <c r="G500" s="34">
        <v>0</v>
      </c>
      <c r="H500" s="34"/>
      <c r="I500" s="34">
        <v>0</v>
      </c>
      <c r="J500" s="34">
        <v>1</v>
      </c>
      <c r="K500" s="107">
        <v>0</v>
      </c>
      <c r="L500" s="34">
        <v>18</v>
      </c>
    </row>
    <row r="501" spans="1:12" ht="16.5" x14ac:dyDescent="0.35">
      <c r="A501" s="106" t="str">
        <f>HYPERLINK("https://www.examplebusiness.com/resource-center/estate/what-is-the-value-of-your-business","https://www.examplebusiness.com/resource-center/estate/what-is-the-value-of-your-business")</f>
        <v>https://www.examplebusiness.com/resource-center/estate/what-is-the-value-of-your-business</v>
      </c>
      <c r="B501" s="34">
        <v>4</v>
      </c>
      <c r="C501" s="34">
        <v>0</v>
      </c>
      <c r="D501" s="34">
        <v>0</v>
      </c>
      <c r="E501" s="34">
        <v>0</v>
      </c>
      <c r="F501" s="34">
        <v>200</v>
      </c>
      <c r="G501" s="34">
        <v>0</v>
      </c>
      <c r="H501" s="34"/>
      <c r="I501" s="34" t="s">
        <v>1561</v>
      </c>
      <c r="J501" s="34" t="s">
        <v>1561</v>
      </c>
      <c r="K501" s="107" t="s">
        <v>1561</v>
      </c>
      <c r="L501" s="34" t="s">
        <v>1561</v>
      </c>
    </row>
    <row r="502" spans="1:12" ht="16.5" x14ac:dyDescent="0.35">
      <c r="A502" s="106" t="str">
        <f>HYPERLINK("https://www.examplebusiness.com/blog/eleven-ways-to-help-yourself-stay-sane-in-a-crazy-market","https://www.examplebusiness.com/blog/eleven-ways-to-help-yourself-stay-sane-in-a-crazy-market")</f>
        <v>https://www.examplebusiness.com/blog/eleven-ways-to-help-yourself-stay-sane-in-a-crazy-market</v>
      </c>
      <c r="B502" s="34">
        <v>4</v>
      </c>
      <c r="C502" s="34">
        <v>0</v>
      </c>
      <c r="D502" s="34">
        <v>0</v>
      </c>
      <c r="E502" s="34">
        <v>0</v>
      </c>
      <c r="F502" s="34">
        <v>200</v>
      </c>
      <c r="G502" s="34">
        <v>1</v>
      </c>
      <c r="H502" s="34"/>
      <c r="I502" s="34" t="s">
        <v>1561</v>
      </c>
      <c r="J502" s="34" t="s">
        <v>1561</v>
      </c>
      <c r="K502" s="107" t="s">
        <v>1561</v>
      </c>
      <c r="L502" s="34" t="s">
        <v>1561</v>
      </c>
    </row>
    <row r="503" spans="1:12" ht="16.5" x14ac:dyDescent="0.35">
      <c r="A503" s="106" t="str">
        <f>HYPERLINK("https://www.examplebusiness.com/blog/how-quickly-can-stocks-recover-from-covid-19","https://www.examplebusiness.com/blog/how-quickly-can-stocks-recover-from-covid-19")</f>
        <v>https://www.examplebusiness.com/blog/how-quickly-can-stocks-recover-from-covid-19</v>
      </c>
      <c r="B503" s="34">
        <v>4</v>
      </c>
      <c r="C503" s="34">
        <v>0</v>
      </c>
      <c r="D503" s="34">
        <v>0</v>
      </c>
      <c r="E503" s="34">
        <v>0</v>
      </c>
      <c r="F503" s="34">
        <v>200</v>
      </c>
      <c r="G503" s="34">
        <v>0</v>
      </c>
      <c r="H503" s="34"/>
      <c r="I503" s="34" t="s">
        <v>1561</v>
      </c>
      <c r="J503" s="34" t="s">
        <v>1561</v>
      </c>
      <c r="K503" s="107" t="s">
        <v>1561</v>
      </c>
      <c r="L503" s="34" t="s">
        <v>1561</v>
      </c>
    </row>
    <row r="504" spans="1:12" ht="16.5" x14ac:dyDescent="0.35">
      <c r="A504" s="106" t="str">
        <f>HYPERLINK("https://www.examplebusiness.com/resource-center/estate/what-is-my-life-expectancy","https://www.examplebusiness.com/resource-center/estate/what-is-my-life-expectancy")</f>
        <v>https://www.examplebusiness.com/resource-center/estate/what-is-my-life-expectancy</v>
      </c>
      <c r="B504" s="34">
        <v>4</v>
      </c>
      <c r="C504" s="34">
        <v>0</v>
      </c>
      <c r="D504" s="34">
        <v>0</v>
      </c>
      <c r="E504" s="34">
        <v>0</v>
      </c>
      <c r="F504" s="34">
        <v>200</v>
      </c>
      <c r="G504" s="34">
        <v>0</v>
      </c>
      <c r="H504" s="34"/>
      <c r="I504" s="34" t="s">
        <v>1561</v>
      </c>
      <c r="J504" s="34" t="s">
        <v>1561</v>
      </c>
      <c r="K504" s="107" t="s">
        <v>1561</v>
      </c>
      <c r="L504" s="34" t="s">
        <v>1561</v>
      </c>
    </row>
    <row r="505" spans="1:12" ht="16.5" x14ac:dyDescent="0.35">
      <c r="A505" s="106" t="str">
        <f>HYPERLINK("http://www.examplebusiness.comresource-center/investment/5-smart-investing-principles?responsive=false","http://www.examplebusiness.comresource-center/investment/5-smart-investing-principles?responsive=false")</f>
        <v>http://www.examplebusiness.comresource-center/investment/5-smart-investing-principles?responsive=false</v>
      </c>
      <c r="B505" s="34">
        <v>4</v>
      </c>
      <c r="C505" s="34">
        <v>0</v>
      </c>
      <c r="D505" s="34">
        <v>0</v>
      </c>
      <c r="E505" s="34">
        <v>0</v>
      </c>
      <c r="F505" s="34">
        <v>301</v>
      </c>
      <c r="G505" s="34">
        <v>0</v>
      </c>
      <c r="H505" s="34"/>
      <c r="I505" s="34" t="s">
        <v>1561</v>
      </c>
      <c r="J505" s="34" t="s">
        <v>1561</v>
      </c>
      <c r="K505" s="107" t="s">
        <v>1561</v>
      </c>
      <c r="L505" s="34" t="s">
        <v>1561</v>
      </c>
    </row>
    <row r="506" spans="1:12" ht="16.5" x14ac:dyDescent="0.35">
      <c r="A506" s="106" t="str">
        <f>HYPERLINK("https://www.examplebusiness.com/?redirectUrl=/join-us-new","https://www.examplebusiness.com/?redirectUrl=/join-us-new")</f>
        <v>https://www.examplebusiness.com/?redirectUrl=/join-us-new</v>
      </c>
      <c r="B506" s="34">
        <v>4</v>
      </c>
      <c r="C506" s="34">
        <v>0</v>
      </c>
      <c r="D506" s="34">
        <v>0</v>
      </c>
      <c r="E506" s="34">
        <v>0</v>
      </c>
      <c r="F506" s="34">
        <v>200</v>
      </c>
      <c r="G506" s="34">
        <v>0</v>
      </c>
      <c r="H506" s="34"/>
      <c r="I506" s="34" t="s">
        <v>1561</v>
      </c>
      <c r="J506" s="34" t="s">
        <v>1561</v>
      </c>
      <c r="K506" s="107" t="s">
        <v>1561</v>
      </c>
      <c r="L506" s="34" t="s">
        <v>1561</v>
      </c>
    </row>
    <row r="507" spans="1:12" ht="16.5" x14ac:dyDescent="0.35">
      <c r="A507" s="106" t="str">
        <f>HYPERLINK("http://www.examplebusiness.comresource-center/retirement/an-inside-look-at-retirement-living?responsive=false","http://www.examplebusiness.comresource-center/retirement/an-inside-look-at-retirement-living?responsive=false")</f>
        <v>http://www.examplebusiness.comresource-center/retirement/an-inside-look-at-retirement-living?responsive=false</v>
      </c>
      <c r="B507" s="34">
        <v>4</v>
      </c>
      <c r="C507" s="34">
        <v>0</v>
      </c>
      <c r="D507" s="34">
        <v>0</v>
      </c>
      <c r="E507" s="34">
        <v>0</v>
      </c>
      <c r="F507" s="34">
        <v>301</v>
      </c>
      <c r="G507" s="34">
        <v>0</v>
      </c>
      <c r="H507" s="34"/>
      <c r="I507" s="34" t="s">
        <v>1561</v>
      </c>
      <c r="J507" s="34" t="s">
        <v>1561</v>
      </c>
      <c r="K507" s="107" t="s">
        <v>1561</v>
      </c>
      <c r="L507" s="34" t="s">
        <v>1561</v>
      </c>
    </row>
    <row r="508" spans="1:12" ht="16.5" x14ac:dyDescent="0.35">
      <c r="A508" s="106" t="str">
        <f>HYPERLINK("http://www.examplebusiness.comresource-center/retirement/investment-strategies-for-retirement?responsive=false","http://www.examplebusiness.comresource-center/retirement/investment-strategies-for-retirement?responsive=false")</f>
        <v>http://www.examplebusiness.comresource-center/retirement/investment-strategies-for-retirement?responsive=false</v>
      </c>
      <c r="B508" s="34">
        <v>4</v>
      </c>
      <c r="C508" s="34">
        <v>0</v>
      </c>
      <c r="D508" s="34">
        <v>0</v>
      </c>
      <c r="E508" s="34">
        <v>0</v>
      </c>
      <c r="F508" s="34">
        <v>301</v>
      </c>
      <c r="G508" s="34">
        <v>0</v>
      </c>
      <c r="H508" s="34"/>
      <c r="I508" s="34" t="s">
        <v>1561</v>
      </c>
      <c r="J508" s="34" t="s">
        <v>1561</v>
      </c>
      <c r="K508" s="107" t="s">
        <v>1561</v>
      </c>
      <c r="L508" s="34" t="s">
        <v>1561</v>
      </c>
    </row>
    <row r="509" spans="1:12" ht="16.5" x14ac:dyDescent="0.35">
      <c r="A509" s="106" t="str">
        <f>HYPERLINK("http://www.examplebusiness.comresource-center/lifestyle/managing-your-lifestyle?responsive=false","http://www.examplebusiness.comresource-center/lifestyle/managing-your-lifestyle?responsive=false")</f>
        <v>http://www.examplebusiness.comresource-center/lifestyle/managing-your-lifestyle?responsive=false</v>
      </c>
      <c r="B509" s="34">
        <v>4</v>
      </c>
      <c r="C509" s="34">
        <v>0</v>
      </c>
      <c r="D509" s="34">
        <v>0</v>
      </c>
      <c r="E509" s="34">
        <v>0</v>
      </c>
      <c r="F509" s="34">
        <v>301</v>
      </c>
      <c r="G509" s="34">
        <v>0</v>
      </c>
      <c r="H509" s="34"/>
      <c r="I509" s="34" t="s">
        <v>1561</v>
      </c>
      <c r="J509" s="34" t="s">
        <v>1561</v>
      </c>
      <c r="K509" s="107" t="s">
        <v>1561</v>
      </c>
      <c r="L509" s="34" t="s">
        <v>1561</v>
      </c>
    </row>
    <row r="510" spans="1:12" ht="16.5" x14ac:dyDescent="0.35">
      <c r="A510" s="106" t="str">
        <f>HYPERLINK("http://www.examplebusiness.comresource-center/investment/5-smart-investing-strategies?responsive=false","http://www.examplebusiness.comresource-center/investment/5-smart-investing-strategies?responsive=false")</f>
        <v>http://www.examplebusiness.comresource-center/investment/5-smart-investing-strategies?responsive=false</v>
      </c>
      <c r="B510" s="34">
        <v>4</v>
      </c>
      <c r="C510" s="34">
        <v>0</v>
      </c>
      <c r="D510" s="34">
        <v>0</v>
      </c>
      <c r="E510" s="34">
        <v>0</v>
      </c>
      <c r="F510" s="34">
        <v>301</v>
      </c>
      <c r="G510" s="34">
        <v>0</v>
      </c>
      <c r="H510" s="34"/>
      <c r="I510" s="34" t="s">
        <v>1561</v>
      </c>
      <c r="J510" s="34" t="s">
        <v>1561</v>
      </c>
      <c r="K510" s="107" t="s">
        <v>1561</v>
      </c>
      <c r="L510" s="34" t="s">
        <v>1561</v>
      </c>
    </row>
    <row r="511" spans="1:12" ht="16.5" x14ac:dyDescent="0.35">
      <c r="A511" s="106" t="str">
        <f>HYPERLINK("http://www.examplebusiness.comresource-center/insurance/protecting-those-who-matter-most?responsive=false","http://www.examplebusiness.comresource-center/insurance/protecting-those-who-matter-most?responsive=false")</f>
        <v>http://www.examplebusiness.comresource-center/insurance/protecting-those-who-matter-most?responsive=false</v>
      </c>
      <c r="B511" s="34">
        <v>4</v>
      </c>
      <c r="C511" s="34">
        <v>0</v>
      </c>
      <c r="D511" s="34">
        <v>0</v>
      </c>
      <c r="E511" s="34">
        <v>0</v>
      </c>
      <c r="F511" s="34">
        <v>301</v>
      </c>
      <c r="G511" s="34">
        <v>0</v>
      </c>
      <c r="H511" s="34"/>
      <c r="I511" s="34" t="s">
        <v>1561</v>
      </c>
      <c r="J511" s="34" t="s">
        <v>1561</v>
      </c>
      <c r="K511" s="107" t="s">
        <v>1561</v>
      </c>
      <c r="L511" s="34" t="s">
        <v>1561</v>
      </c>
    </row>
    <row r="512" spans="1:12" ht="16.5" x14ac:dyDescent="0.35">
      <c r="A512" s="106" t="str">
        <f>HYPERLINK("http://www.examplebusiness.comresource-center/estate/principles-of-preserving-wealth?responsive=false","http://www.examplebusiness.comresource-center/estate/principles-of-preserving-wealth?responsive=false")</f>
        <v>http://www.examplebusiness.comresource-center/estate/principles-of-preserving-wealth?responsive=false</v>
      </c>
      <c r="B512" s="34">
        <v>4</v>
      </c>
      <c r="C512" s="34">
        <v>0</v>
      </c>
      <c r="D512" s="34">
        <v>0</v>
      </c>
      <c r="E512" s="34">
        <v>0</v>
      </c>
      <c r="F512" s="34">
        <v>301</v>
      </c>
      <c r="G512" s="34">
        <v>0</v>
      </c>
      <c r="H512" s="34"/>
      <c r="I512" s="34" t="s">
        <v>1561</v>
      </c>
      <c r="J512" s="34" t="s">
        <v>1561</v>
      </c>
      <c r="K512" s="107" t="s">
        <v>1561</v>
      </c>
      <c r="L512" s="34" t="s">
        <v>1561</v>
      </c>
    </row>
    <row r="513" spans="1:12" ht="16.5" x14ac:dyDescent="0.35">
      <c r="A513" s="106" t="str">
        <f>HYPERLINK("http://www.examplebusiness.comresource-center/money/your-cash-flow-statement?responsive=false","http://www.examplebusiness.comresource-center/money/your-cash-flow-statement?responsive=false")</f>
        <v>http://www.examplebusiness.comresource-center/money/your-cash-flow-statement?responsive=false</v>
      </c>
      <c r="B513" s="34">
        <v>4</v>
      </c>
      <c r="C513" s="34">
        <v>0</v>
      </c>
      <c r="D513" s="34">
        <v>0</v>
      </c>
      <c r="E513" s="34">
        <v>0</v>
      </c>
      <c r="F513" s="34">
        <v>301</v>
      </c>
      <c r="G513" s="34">
        <v>0</v>
      </c>
      <c r="H513" s="34"/>
      <c r="I513" s="34" t="s">
        <v>1561</v>
      </c>
      <c r="J513" s="34" t="s">
        <v>1561</v>
      </c>
      <c r="K513" s="107" t="s">
        <v>1561</v>
      </c>
      <c r="L513" s="34" t="s">
        <v>1561</v>
      </c>
    </row>
    <row r="514" spans="1:12" ht="16.5" x14ac:dyDescent="0.35">
      <c r="A514" s="106" t="str">
        <f>HYPERLINK("https://www.examplebusiness.com/resource-center/retirement/investment-strategies-for-retirement?responsive=false","https://www.examplebusiness.com/resource-center/retirement/investment-strategies-for-retirement?responsive=false")</f>
        <v>https://www.examplebusiness.com/resource-center/retirement/investment-strategies-for-retirement?responsive=false</v>
      </c>
      <c r="B514" s="34">
        <v>4</v>
      </c>
      <c r="C514" s="34">
        <v>0</v>
      </c>
      <c r="D514" s="34">
        <v>0</v>
      </c>
      <c r="E514" s="34">
        <v>0</v>
      </c>
      <c r="F514" s="34">
        <v>200</v>
      </c>
      <c r="G514" s="34">
        <v>0</v>
      </c>
      <c r="H514" s="34"/>
      <c r="I514" s="34" t="s">
        <v>1561</v>
      </c>
      <c r="J514" s="34" t="s">
        <v>1561</v>
      </c>
      <c r="K514" s="107" t="s">
        <v>1561</v>
      </c>
      <c r="L514" s="34" t="s">
        <v>1561</v>
      </c>
    </row>
    <row r="515" spans="1:12" ht="16.5" x14ac:dyDescent="0.35">
      <c r="A515" s="106" t="str">
        <f>HYPERLINK("https://www.examplebusiness.com/resource-center/insurance/protecting-those-who-matter-most?responsive=false","https://www.examplebusiness.com/resource-center/insurance/protecting-those-who-matter-most?responsive=false")</f>
        <v>https://www.examplebusiness.com/resource-center/insurance/protecting-those-who-matter-most?responsive=false</v>
      </c>
      <c r="B515" s="34">
        <v>4</v>
      </c>
      <c r="C515" s="34">
        <v>0</v>
      </c>
      <c r="D515" s="34">
        <v>0</v>
      </c>
      <c r="E515" s="34">
        <v>0</v>
      </c>
      <c r="F515" s="34">
        <v>200</v>
      </c>
      <c r="G515" s="34">
        <v>0</v>
      </c>
      <c r="H515" s="34"/>
      <c r="I515" s="34" t="s">
        <v>1561</v>
      </c>
      <c r="J515" s="34" t="s">
        <v>1561</v>
      </c>
      <c r="K515" s="107" t="s">
        <v>1561</v>
      </c>
      <c r="L515" s="34" t="s">
        <v>1561</v>
      </c>
    </row>
    <row r="516" spans="1:12" ht="16.5" x14ac:dyDescent="0.35">
      <c r="A516" s="106" t="str">
        <f>HYPERLINK("https://www.examplebusiness.com/resource-center/investment/5-smart-investing-principles?responsive=false","https://www.examplebusiness.com/resource-center/investment/5-smart-investing-principles?responsive=false")</f>
        <v>https://www.examplebusiness.com/resource-center/investment/5-smart-investing-principles?responsive=false</v>
      </c>
      <c r="B516" s="34">
        <v>4</v>
      </c>
      <c r="C516" s="34">
        <v>0</v>
      </c>
      <c r="D516" s="34">
        <v>0</v>
      </c>
      <c r="E516" s="34">
        <v>0</v>
      </c>
      <c r="F516" s="34">
        <v>200</v>
      </c>
      <c r="G516" s="34">
        <v>0</v>
      </c>
      <c r="H516" s="34"/>
      <c r="I516" s="34" t="s">
        <v>1561</v>
      </c>
      <c r="J516" s="34" t="s">
        <v>1561</v>
      </c>
      <c r="K516" s="107" t="s">
        <v>1561</v>
      </c>
      <c r="L516" s="34" t="s">
        <v>1561</v>
      </c>
    </row>
    <row r="517" spans="1:12" ht="16.5" x14ac:dyDescent="0.35">
      <c r="A517" s="106" t="str">
        <f>HYPERLINK("https://www.examplebusiness.com/resource-center/money/your-cash-flow-statement?responsive=false","https://www.examplebusiness.com/resource-center/money/your-cash-flow-statement?responsive=false")</f>
        <v>https://www.examplebusiness.com/resource-center/money/your-cash-flow-statement?responsive=false</v>
      </c>
      <c r="B517" s="34">
        <v>4</v>
      </c>
      <c r="C517" s="34">
        <v>0</v>
      </c>
      <c r="D517" s="34">
        <v>0</v>
      </c>
      <c r="E517" s="34">
        <v>0</v>
      </c>
      <c r="F517" s="34">
        <v>200</v>
      </c>
      <c r="G517" s="34">
        <v>0</v>
      </c>
      <c r="H517" s="34"/>
      <c r="I517" s="34" t="s">
        <v>1561</v>
      </c>
      <c r="J517" s="34" t="s">
        <v>1561</v>
      </c>
      <c r="K517" s="107" t="s">
        <v>1561</v>
      </c>
      <c r="L517" s="34" t="s">
        <v>1561</v>
      </c>
    </row>
    <row r="518" spans="1:12" ht="16.5" x14ac:dyDescent="0.35">
      <c r="A518" s="106" t="str">
        <f>HYPERLINK("https://www.examplebusiness.com/resource-center/estate/principles-of-preserving-wealth?responsive=false","https://www.examplebusiness.com/resource-center/estate/principles-of-preserving-wealth?responsive=false")</f>
        <v>https://www.examplebusiness.com/resource-center/estate/principles-of-preserving-wealth?responsive=false</v>
      </c>
      <c r="B518" s="34">
        <v>4</v>
      </c>
      <c r="C518" s="34">
        <v>0</v>
      </c>
      <c r="D518" s="34">
        <v>0</v>
      </c>
      <c r="E518" s="34">
        <v>0</v>
      </c>
      <c r="F518" s="34">
        <v>200</v>
      </c>
      <c r="G518" s="34">
        <v>0</v>
      </c>
      <c r="H518" s="34"/>
      <c r="I518" s="34" t="s">
        <v>1561</v>
      </c>
      <c r="J518" s="34" t="s">
        <v>1561</v>
      </c>
      <c r="K518" s="107" t="s">
        <v>1561</v>
      </c>
      <c r="L518" s="34" t="s">
        <v>1561</v>
      </c>
    </row>
    <row r="519" spans="1:12" ht="16.5" x14ac:dyDescent="0.35">
      <c r="A519" s="106" t="str">
        <f>HYPERLINK("https://www.examplebusiness.com/resource-center/investment/5-smart-investing-strategies?responsive=false","https://www.examplebusiness.com/resource-center/investment/5-smart-investing-strategies?responsive=false")</f>
        <v>https://www.examplebusiness.com/resource-center/investment/5-smart-investing-strategies?responsive=false</v>
      </c>
      <c r="B519" s="34">
        <v>4</v>
      </c>
      <c r="C519" s="34">
        <v>0</v>
      </c>
      <c r="D519" s="34">
        <v>0</v>
      </c>
      <c r="E519" s="34">
        <v>0</v>
      </c>
      <c r="F519" s="34">
        <v>200</v>
      </c>
      <c r="G519" s="34">
        <v>0</v>
      </c>
      <c r="H519" s="34"/>
      <c r="I519" s="34" t="s">
        <v>1561</v>
      </c>
      <c r="J519" s="34" t="s">
        <v>1561</v>
      </c>
      <c r="K519" s="107" t="s">
        <v>1561</v>
      </c>
      <c r="L519" s="34" t="s">
        <v>1561</v>
      </c>
    </row>
    <row r="520" spans="1:12" ht="16.5" x14ac:dyDescent="0.35">
      <c r="A520" s="106" t="str">
        <f>HYPERLINK("https://www.examplebusiness.com/resource-center/lifestyle/managing-your-lifestyle?responsive=false","https://www.examplebusiness.com/resource-center/lifestyle/managing-your-lifestyle?responsive=false")</f>
        <v>https://www.examplebusiness.com/resource-center/lifestyle/managing-your-lifestyle?responsive=false</v>
      </c>
      <c r="B520" s="34">
        <v>4</v>
      </c>
      <c r="C520" s="34">
        <v>0</v>
      </c>
      <c r="D520" s="34">
        <v>0</v>
      </c>
      <c r="E520" s="34">
        <v>0</v>
      </c>
      <c r="F520" s="34">
        <v>200</v>
      </c>
      <c r="G520" s="34">
        <v>0</v>
      </c>
      <c r="H520" s="34"/>
      <c r="I520" s="34" t="s">
        <v>1561</v>
      </c>
      <c r="J520" s="34" t="s">
        <v>1561</v>
      </c>
      <c r="K520" s="107" t="s">
        <v>1561</v>
      </c>
      <c r="L520" s="34" t="s">
        <v>1561</v>
      </c>
    </row>
    <row r="521" spans="1:12" ht="16.5" x14ac:dyDescent="0.35">
      <c r="A521" s="106" t="str">
        <f>HYPERLINK("https://www.examplebusiness.com/resource-center/retirement/an-inside-look-at-retirement-living?responsive=false","https://www.examplebusiness.com/resource-center/retirement/an-inside-look-at-retirement-living?responsive=false")</f>
        <v>https://www.examplebusiness.com/resource-center/retirement/an-inside-look-at-retirement-living?responsive=false</v>
      </c>
      <c r="B521" s="34">
        <v>4</v>
      </c>
      <c r="C521" s="34">
        <v>0</v>
      </c>
      <c r="D521" s="34">
        <v>0</v>
      </c>
      <c r="E521" s="34">
        <v>0</v>
      </c>
      <c r="F521" s="34">
        <v>200</v>
      </c>
      <c r="G521" s="34">
        <v>0</v>
      </c>
      <c r="H521" s="34"/>
      <c r="I521" s="34" t="s">
        <v>1561</v>
      </c>
      <c r="J521" s="34" t="s">
        <v>1561</v>
      </c>
      <c r="K521" s="107" t="s">
        <v>1561</v>
      </c>
      <c r="L521" s="34" t="s">
        <v>1561</v>
      </c>
    </row>
    <row r="522" spans="1:12" ht="16.5" x14ac:dyDescent="0.35">
      <c r="A522" s="106" t="str">
        <f>HYPERLINK("http://examplebusiness.comwp-content/plugins/events-manager/includes/images/loading.gif","http://examplebusiness.comwp-content/plugins/events-manager/includes/images/loading.gif")</f>
        <v>http://examplebusiness.comwp-content/plugins/events-manager/includes/images/loading.gif</v>
      </c>
      <c r="B522" s="34">
        <v>4</v>
      </c>
      <c r="C522" s="34">
        <v>0</v>
      </c>
      <c r="D522" s="34">
        <v>0</v>
      </c>
      <c r="E522" s="34">
        <v>0</v>
      </c>
      <c r="F522" s="34">
        <v>301</v>
      </c>
      <c r="G522" s="34">
        <v>0</v>
      </c>
      <c r="H522" s="34"/>
      <c r="I522" s="34" t="s">
        <v>1561</v>
      </c>
      <c r="J522" s="34" t="s">
        <v>1561</v>
      </c>
      <c r="K522" s="107" t="s">
        <v>1561</v>
      </c>
      <c r="L522" s="34" t="s">
        <v>1561</v>
      </c>
    </row>
    <row r="523" spans="1:12" ht="16.5" x14ac:dyDescent="0.35">
      <c r="A523" s="106" t="str">
        <f>HYPERLINK("http://www.examplebusiness.com_theme/Page/banner_logo.jpg","http://www.examplebusiness.com_theme/Page/banner_logo.jpg")</f>
        <v>http://www.examplebusiness.com_theme/Page/banner_logo.jpg</v>
      </c>
      <c r="B523" s="34">
        <v>4</v>
      </c>
      <c r="C523" s="34">
        <v>0</v>
      </c>
      <c r="D523" s="34">
        <v>0</v>
      </c>
      <c r="E523" s="34">
        <v>0</v>
      </c>
      <c r="F523" s="34">
        <v>301</v>
      </c>
      <c r="G523" s="34">
        <v>0</v>
      </c>
      <c r="H523" s="34"/>
      <c r="I523" s="34" t="s">
        <v>1561</v>
      </c>
      <c r="J523" s="34" t="s">
        <v>1561</v>
      </c>
      <c r="K523" s="107" t="s">
        <v>1561</v>
      </c>
      <c r="L523" s="34" t="s">
        <v>1561</v>
      </c>
    </row>
    <row r="524" spans="1:12" ht="16.5" x14ac:dyDescent="0.35">
      <c r="A524" s="106" t="str">
        <f>HYPERLINK("http://examplebusiness.comwp-content/uploads/2013/08/2015-EVENT.jpg","http://examplebusiness.comwp-content/uploads/2013/08/2015-EVENT.jpg")</f>
        <v>http://examplebusiness.comwp-content/uploads/2013/08/2015-EVENT.jpg</v>
      </c>
      <c r="B524" s="34">
        <v>4</v>
      </c>
      <c r="C524" s="34">
        <v>0</v>
      </c>
      <c r="D524" s="34">
        <v>0</v>
      </c>
      <c r="E524" s="34">
        <v>0</v>
      </c>
      <c r="F524" s="34">
        <v>301</v>
      </c>
      <c r="G524" s="34">
        <v>0</v>
      </c>
      <c r="H524" s="34"/>
      <c r="I524" s="34" t="s">
        <v>1561</v>
      </c>
      <c r="J524" s="34" t="s">
        <v>1561</v>
      </c>
      <c r="K524" s="107" t="s">
        <v>1561</v>
      </c>
      <c r="L524" s="34" t="s">
        <v>1561</v>
      </c>
    </row>
    <row r="525" spans="1:12" ht="16.5" x14ac:dyDescent="0.35">
      <c r="A525" s="106" t="str">
        <f>HYPERLINK("http://examplebusiness.comwp-content/uploads/2013/08/dan_mahoney_sm.jpg","http://examplebusiness.comwp-content/uploads/2013/08/dan_mahoney_sm.jpg")</f>
        <v>http://examplebusiness.comwp-content/uploads/2013/08/dan_mahoney_sm.jpg</v>
      </c>
      <c r="B525" s="34">
        <v>4</v>
      </c>
      <c r="C525" s="34">
        <v>0</v>
      </c>
      <c r="D525" s="34">
        <v>0</v>
      </c>
      <c r="E525" s="34">
        <v>0</v>
      </c>
      <c r="F525" s="34">
        <v>301</v>
      </c>
      <c r="G525" s="34">
        <v>0</v>
      </c>
      <c r="H525" s="34"/>
      <c r="I525" s="34" t="s">
        <v>1561</v>
      </c>
      <c r="J525" s="34" t="s">
        <v>1561</v>
      </c>
      <c r="K525" s="107" t="s">
        <v>1561</v>
      </c>
      <c r="L525" s="34" t="s">
        <v>1561</v>
      </c>
    </row>
    <row r="526" spans="1:12" ht="16.5" x14ac:dyDescent="0.35">
      <c r="A526" s="106" t="str">
        <f>HYPERLINK("http://examplebusiness.comwp-content/uploads/2013/08/FeedMyStarvingChildren.jpg","http://examplebusiness.comwp-content/uploads/2013/08/FeedMyStarvingChildren.jpg")</f>
        <v>http://examplebusiness.comwp-content/uploads/2013/08/FeedMyStarvingChildren.jpg</v>
      </c>
      <c r="B526" s="34">
        <v>4</v>
      </c>
      <c r="C526" s="34">
        <v>0</v>
      </c>
      <c r="D526" s="34">
        <v>0</v>
      </c>
      <c r="E526" s="34">
        <v>0</v>
      </c>
      <c r="F526" s="34">
        <v>301</v>
      </c>
      <c r="G526" s="34">
        <v>0</v>
      </c>
      <c r="H526" s="34"/>
      <c r="I526" s="34" t="s">
        <v>1561</v>
      </c>
      <c r="J526" s="34" t="s">
        <v>1561</v>
      </c>
      <c r="K526" s="107" t="s">
        <v>1561</v>
      </c>
      <c r="L526" s="34" t="s">
        <v>1561</v>
      </c>
    </row>
    <row r="527" spans="1:12" ht="16.5" x14ac:dyDescent="0.35">
      <c r="A527" s="106" t="str">
        <f>HYPERLINK("http://examplebusiness.comwp-content/uploads/2013/08/jeff_thompson_sm.jpg","http://examplebusiness.comwp-content/uploads/2013/08/jeff_thompson_sm.jpg")</f>
        <v>http://examplebusiness.comwp-content/uploads/2013/08/jeff_thompson_sm.jpg</v>
      </c>
      <c r="B527" s="34">
        <v>4</v>
      </c>
      <c r="C527" s="34">
        <v>0</v>
      </c>
      <c r="D527" s="34">
        <v>0</v>
      </c>
      <c r="E527" s="34">
        <v>0</v>
      </c>
      <c r="F527" s="34">
        <v>301</v>
      </c>
      <c r="G527" s="34">
        <v>0</v>
      </c>
      <c r="H527" s="34"/>
      <c r="I527" s="34" t="s">
        <v>1561</v>
      </c>
      <c r="J527" s="34" t="s">
        <v>1561</v>
      </c>
      <c r="K527" s="107" t="s">
        <v>1561</v>
      </c>
      <c r="L527" s="34" t="s">
        <v>1561</v>
      </c>
    </row>
    <row r="528" spans="1:12" ht="16.5" x14ac:dyDescent="0.35">
      <c r="A528" s="106" t="str">
        <f>HYPERLINK("http://examplebusiness.comwp-content/uploads/2013/08/mike.jpg","http://examplebusiness.comwp-content/uploads/2013/08/mike.jpg")</f>
        <v>http://examplebusiness.comwp-content/uploads/2013/08/mike.jpg</v>
      </c>
      <c r="B528" s="34">
        <v>4</v>
      </c>
      <c r="C528" s="34">
        <v>0</v>
      </c>
      <c r="D528" s="34">
        <v>0</v>
      </c>
      <c r="E528" s="34">
        <v>0</v>
      </c>
      <c r="F528" s="34">
        <v>301</v>
      </c>
      <c r="G528" s="34">
        <v>0</v>
      </c>
      <c r="H528" s="34"/>
      <c r="I528" s="34" t="s">
        <v>1561</v>
      </c>
      <c r="J528" s="34" t="s">
        <v>1561</v>
      </c>
      <c r="K528" s="107" t="s">
        <v>1561</v>
      </c>
      <c r="L528" s="34" t="s">
        <v>1561</v>
      </c>
    </row>
    <row r="529" spans="1:12" ht="16.5" x14ac:dyDescent="0.35">
      <c r="A529" s="106" t="str">
        <f>HYPERLINK("http://examplebusiness.comwp-content/uploads/2014/07/2014-Lake-Minnetonka-Triathalon.jpg","http://examplebusiness.comwp-content/uploads/2014/07/2014-Lake-Minnetonka-Triathalon.jpg")</f>
        <v>http://examplebusiness.comwp-content/uploads/2014/07/2014-Lake-Minnetonka-Triathalon.jpg</v>
      </c>
      <c r="B529" s="34">
        <v>4</v>
      </c>
      <c r="C529" s="34">
        <v>0</v>
      </c>
      <c r="D529" s="34">
        <v>0</v>
      </c>
      <c r="E529" s="34">
        <v>0</v>
      </c>
      <c r="F529" s="34">
        <v>301</v>
      </c>
      <c r="G529" s="34">
        <v>0</v>
      </c>
      <c r="H529" s="34"/>
      <c r="I529" s="34" t="s">
        <v>1561</v>
      </c>
      <c r="J529" s="34" t="s">
        <v>1561</v>
      </c>
      <c r="K529" s="107" t="s">
        <v>1561</v>
      </c>
      <c r="L529" s="34" t="s">
        <v>1561</v>
      </c>
    </row>
    <row r="530" spans="1:12" ht="16.5" x14ac:dyDescent="0.35">
      <c r="A530" s="106" t="str">
        <f>HYPERLINK("http://examplebusiness.comwp-content/uploads/2014/07/Baird-Family.jpg","http://examplebusiness.comwp-content/uploads/2014/07/Baird-Family.jpg")</f>
        <v>http://examplebusiness.comwp-content/uploads/2014/07/Baird-Family.jpg</v>
      </c>
      <c r="B530" s="34">
        <v>4</v>
      </c>
      <c r="C530" s="34">
        <v>0</v>
      </c>
      <c r="D530" s="34">
        <v>0</v>
      </c>
      <c r="E530" s="34">
        <v>0</v>
      </c>
      <c r="F530" s="34">
        <v>301</v>
      </c>
      <c r="G530" s="34">
        <v>0</v>
      </c>
      <c r="H530" s="34"/>
      <c r="I530" s="34" t="s">
        <v>1561</v>
      </c>
      <c r="J530" s="34" t="s">
        <v>1561</v>
      </c>
      <c r="K530" s="107" t="s">
        <v>1561</v>
      </c>
      <c r="L530" s="34" t="s">
        <v>1561</v>
      </c>
    </row>
    <row r="531" spans="1:12" ht="16.5" x14ac:dyDescent="0.35">
      <c r="A531" s="106" t="str">
        <f>HYPERLINK("http://examplebusiness.comwp-content/uploads/2014/07/Bruckner-Boys1.jpg","http://examplebusiness.comwp-content/uploads/2014/07/Bruckner-Boys1.jpg")</f>
        <v>http://examplebusiness.comwp-content/uploads/2014/07/Bruckner-Boys1.jpg</v>
      </c>
      <c r="B531" s="34">
        <v>4</v>
      </c>
      <c r="C531" s="34">
        <v>0</v>
      </c>
      <c r="D531" s="34">
        <v>0</v>
      </c>
      <c r="E531" s="34">
        <v>0</v>
      </c>
      <c r="F531" s="34">
        <v>301</v>
      </c>
      <c r="G531" s="34">
        <v>0</v>
      </c>
      <c r="H531" s="34"/>
      <c r="I531" s="34" t="s">
        <v>1561</v>
      </c>
      <c r="J531" s="34" t="s">
        <v>1561</v>
      </c>
      <c r="K531" s="107" t="s">
        <v>1561</v>
      </c>
      <c r="L531" s="34" t="s">
        <v>1561</v>
      </c>
    </row>
    <row r="532" spans="1:12" ht="16.5" x14ac:dyDescent="0.35">
      <c r="A532" s="106" t="str">
        <f>HYPERLINK("http://examplebusiness.comwp-content/uploads/2014/07/Ed-and-Mike-on-stools.jpg","http://examplebusiness.comwp-content/uploads/2014/07/Ed-and-Mike-on-stools.jpg")</f>
        <v>http://examplebusiness.comwp-content/uploads/2014/07/Ed-and-Mike-on-stools.jpg</v>
      </c>
      <c r="B532" s="34">
        <v>4</v>
      </c>
      <c r="C532" s="34">
        <v>0</v>
      </c>
      <c r="D532" s="34">
        <v>0</v>
      </c>
      <c r="E532" s="34">
        <v>0</v>
      </c>
      <c r="F532" s="34">
        <v>301</v>
      </c>
      <c r="G532" s="34">
        <v>0</v>
      </c>
      <c r="H532" s="34"/>
      <c r="I532" s="34" t="s">
        <v>1561</v>
      </c>
      <c r="J532" s="34" t="s">
        <v>1561</v>
      </c>
      <c r="K532" s="107" t="s">
        <v>1561</v>
      </c>
      <c r="L532" s="34" t="s">
        <v>1561</v>
      </c>
    </row>
    <row r="533" spans="1:12" ht="16.5" x14ac:dyDescent="0.35">
      <c r="A533" s="106" t="str">
        <f>HYPERLINK("http://examplebusiness.comwp-content/uploads/2014/07/Group-Photo.jpg","http://examplebusiness.comwp-content/uploads/2014/07/Group-Photo.jpg")</f>
        <v>http://examplebusiness.comwp-content/uploads/2014/07/Group-Photo.jpg</v>
      </c>
      <c r="B533" s="34">
        <v>4</v>
      </c>
      <c r="C533" s="34">
        <v>0</v>
      </c>
      <c r="D533" s="34">
        <v>0</v>
      </c>
      <c r="E533" s="34">
        <v>0</v>
      </c>
      <c r="F533" s="34">
        <v>301</v>
      </c>
      <c r="G533" s="34">
        <v>0</v>
      </c>
      <c r="H533" s="34"/>
      <c r="I533" s="34" t="s">
        <v>1561</v>
      </c>
      <c r="J533" s="34" t="s">
        <v>1561</v>
      </c>
      <c r="K533" s="107" t="s">
        <v>1561</v>
      </c>
      <c r="L533" s="34" t="s">
        <v>1561</v>
      </c>
    </row>
    <row r="534" spans="1:12" ht="16.5" x14ac:dyDescent="0.35">
      <c r="A534" s="106" t="str">
        <f>HYPERLINK("http://examplebusiness.comwp-content/uploads/2014/07/Mike-and-Ryan.jpg","http://examplebusiness.comwp-content/uploads/2014/07/Mike-and-Ryan.jpg")</f>
        <v>http://examplebusiness.comwp-content/uploads/2014/07/Mike-and-Ryan.jpg</v>
      </c>
      <c r="B534" s="34">
        <v>4</v>
      </c>
      <c r="C534" s="34">
        <v>0</v>
      </c>
      <c r="D534" s="34">
        <v>0</v>
      </c>
      <c r="E534" s="34">
        <v>0</v>
      </c>
      <c r="F534" s="34">
        <v>301</v>
      </c>
      <c r="G534" s="34">
        <v>0</v>
      </c>
      <c r="H534" s="34"/>
      <c r="I534" s="34" t="s">
        <v>1561</v>
      </c>
      <c r="J534" s="34" t="s">
        <v>1561</v>
      </c>
      <c r="K534" s="107" t="s">
        <v>1561</v>
      </c>
      <c r="L534" s="34" t="s">
        <v>1561</v>
      </c>
    </row>
    <row r="535" spans="1:12" ht="16.5" x14ac:dyDescent="0.35">
      <c r="A535" s="106" t="str">
        <f>HYPERLINK("http://examplebusiness.comwp-content/uploads/2014/07/Mike-with-woman-150x150.jpg","http://examplebusiness.comwp-content/uploads/2014/07/Mike-with-woman-150x150.jpg")</f>
        <v>http://examplebusiness.comwp-content/uploads/2014/07/Mike-with-woman-150x150.jpg</v>
      </c>
      <c r="B535" s="34">
        <v>4</v>
      </c>
      <c r="C535" s="34">
        <v>0</v>
      </c>
      <c r="D535" s="34">
        <v>0</v>
      </c>
      <c r="E535" s="34">
        <v>0</v>
      </c>
      <c r="F535" s="34">
        <v>301</v>
      </c>
      <c r="G535" s="34">
        <v>0</v>
      </c>
      <c r="H535" s="34"/>
      <c r="I535" s="34" t="s">
        <v>1561</v>
      </c>
      <c r="J535" s="34" t="s">
        <v>1561</v>
      </c>
      <c r="K535" s="107" t="s">
        <v>1561</v>
      </c>
      <c r="L535" s="34" t="s">
        <v>1561</v>
      </c>
    </row>
    <row r="536" spans="1:12" ht="16.5" x14ac:dyDescent="0.35">
      <c r="A536" s="106" t="str">
        <f>HYPERLINK("http://examplebusiness.comwp-content/uploads/2014/07/Mike-with-woman.jpg","http://examplebusiness.comwp-content/uploads/2014/07/Mike-with-woman.jpg")</f>
        <v>http://examplebusiness.comwp-content/uploads/2014/07/Mike-with-woman.jpg</v>
      </c>
      <c r="B536" s="34">
        <v>4</v>
      </c>
      <c r="C536" s="34">
        <v>0</v>
      </c>
      <c r="D536" s="34">
        <v>0</v>
      </c>
      <c r="E536" s="34">
        <v>0</v>
      </c>
      <c r="F536" s="34">
        <v>301</v>
      </c>
      <c r="G536" s="34">
        <v>0</v>
      </c>
      <c r="H536" s="34"/>
      <c r="I536" s="34" t="s">
        <v>1561</v>
      </c>
      <c r="J536" s="34" t="s">
        <v>1561</v>
      </c>
      <c r="K536" s="107" t="s">
        <v>1561</v>
      </c>
      <c r="L536" s="34" t="s">
        <v>1561</v>
      </c>
    </row>
    <row r="537" spans="1:12" ht="16.5" x14ac:dyDescent="0.35">
      <c r="A537" s="106" t="str">
        <f>HYPERLINK("http://examplebusiness.comwp-content/uploads/2014/07/Ryan-Schilling.jpg","http://examplebusiness.comwp-content/uploads/2014/07/Ryan-Schilling.jpg")</f>
        <v>http://examplebusiness.comwp-content/uploads/2014/07/Ryan-Schilling.jpg</v>
      </c>
      <c r="B537" s="34">
        <v>4</v>
      </c>
      <c r="C537" s="34">
        <v>0</v>
      </c>
      <c r="D537" s="34">
        <v>0</v>
      </c>
      <c r="E537" s="34">
        <v>0</v>
      </c>
      <c r="F537" s="34">
        <v>301</v>
      </c>
      <c r="G537" s="34">
        <v>0</v>
      </c>
      <c r="H537" s="34"/>
      <c r="I537" s="34" t="s">
        <v>1561</v>
      </c>
      <c r="J537" s="34" t="s">
        <v>1561</v>
      </c>
      <c r="K537" s="107" t="s">
        <v>1561</v>
      </c>
      <c r="L537" s="34" t="s">
        <v>1561</v>
      </c>
    </row>
    <row r="538" spans="1:12" ht="16.5" x14ac:dyDescent="0.35">
      <c r="A538" s="106" t="str">
        <f>HYPERLINK("http://examplebusiness.comwp-content/uploads/2014/07/Whole-group-finding-photos.jpg","http://examplebusiness.comwp-content/uploads/2014/07/Whole-group-finding-photos.jpg")</f>
        <v>http://examplebusiness.comwp-content/uploads/2014/07/Whole-group-finding-photos.jpg</v>
      </c>
      <c r="B538" s="34">
        <v>4</v>
      </c>
      <c r="C538" s="34">
        <v>0</v>
      </c>
      <c r="D538" s="34">
        <v>0</v>
      </c>
      <c r="E538" s="34">
        <v>0</v>
      </c>
      <c r="F538" s="34">
        <v>301</v>
      </c>
      <c r="G538" s="34">
        <v>0</v>
      </c>
      <c r="H538" s="34"/>
      <c r="I538" s="34" t="s">
        <v>1561</v>
      </c>
      <c r="J538" s="34" t="s">
        <v>1561</v>
      </c>
      <c r="K538" s="107" t="s">
        <v>1561</v>
      </c>
      <c r="L538" s="34" t="s">
        <v>1561</v>
      </c>
    </row>
    <row r="539" spans="1:12" ht="16.5" x14ac:dyDescent="0.35">
      <c r="A539" s="106" t="str">
        <f>HYPERLINK("http://examplebusiness.comwp-content/uploads/2014/07/zoo-fun-day.jpg","http://examplebusiness.comwp-content/uploads/2014/07/zoo-fun-day.jpg")</f>
        <v>http://examplebusiness.comwp-content/uploads/2014/07/zoo-fun-day.jpg</v>
      </c>
      <c r="B539" s="34">
        <v>4</v>
      </c>
      <c r="C539" s="34">
        <v>0</v>
      </c>
      <c r="D539" s="34">
        <v>0</v>
      </c>
      <c r="E539" s="34">
        <v>0</v>
      </c>
      <c r="F539" s="34">
        <v>301</v>
      </c>
      <c r="G539" s="34">
        <v>0</v>
      </c>
      <c r="H539" s="34"/>
      <c r="I539" s="34" t="s">
        <v>1561</v>
      </c>
      <c r="J539" s="34" t="s">
        <v>1561</v>
      </c>
      <c r="K539" s="107" t="s">
        <v>1561</v>
      </c>
      <c r="L539" s="34" t="s">
        <v>1561</v>
      </c>
    </row>
    <row r="540" spans="1:12" ht="16.5" x14ac:dyDescent="0.35">
      <c r="A540" s="106" t="str">
        <f>HYPERLINK("http://examplebusiness.comwp-content/uploads/2014/11/abc-financial-advisors-minnetonka-minneapolis-mn-150x150.jpg","http://examplebusiness.comwp-content/uploads/2014/11/abc-financial-advisors-minnetonka-minneapolis-mn-150x150.jpg")</f>
        <v>http://examplebusiness.comwp-content/uploads/2014/11/abc-financial-advisors-minnetonka-minneapolis-mn-150x150.jpg</v>
      </c>
      <c r="B540" s="34">
        <v>4</v>
      </c>
      <c r="C540" s="34">
        <v>0</v>
      </c>
      <c r="D540" s="34">
        <v>0</v>
      </c>
      <c r="E540" s="34">
        <v>0</v>
      </c>
      <c r="F540" s="34">
        <v>301</v>
      </c>
      <c r="G540" s="34">
        <v>0</v>
      </c>
      <c r="H540" s="34"/>
      <c r="I540" s="34" t="s">
        <v>1561</v>
      </c>
      <c r="J540" s="34" t="s">
        <v>1561</v>
      </c>
      <c r="K540" s="107" t="s">
        <v>1561</v>
      </c>
      <c r="L540" s="34" t="s">
        <v>1561</v>
      </c>
    </row>
    <row r="541" spans="1:12" ht="16.5" x14ac:dyDescent="0.35">
      <c r="A541" s="106" t="str">
        <f>HYPERLINK("http://examplebusiness.comwp-content/uploads/2014/11/abc-financial-advisors-minnetonka-minneapolis-mn.jpg","http://examplebusiness.comwp-content/uploads/2014/11/abc-financial-advisors-minnetonka-minneapolis-mn.jpg")</f>
        <v>http://examplebusiness.comwp-content/uploads/2014/11/abc-financial-advisors-minnetonka-minneapolis-mn.jpg</v>
      </c>
      <c r="B541" s="34">
        <v>4</v>
      </c>
      <c r="C541" s="34">
        <v>0</v>
      </c>
      <c r="D541" s="34">
        <v>0</v>
      </c>
      <c r="E541" s="34">
        <v>0</v>
      </c>
      <c r="F541" s="34">
        <v>301</v>
      </c>
      <c r="G541" s="34">
        <v>0</v>
      </c>
      <c r="H541" s="34"/>
      <c r="I541" s="34" t="s">
        <v>1561</v>
      </c>
      <c r="J541" s="34" t="s">
        <v>1561</v>
      </c>
      <c r="K541" s="107" t="s">
        <v>1561</v>
      </c>
      <c r="L541" s="34" t="s">
        <v>1561</v>
      </c>
    </row>
    <row r="542" spans="1:12" ht="16.5" x14ac:dyDescent="0.35">
      <c r="A542" s="106" t="str">
        <f>HYPERLINK("http://examplebusiness.comwp-content/uploads/2014/11/CPA-White-Paper-XXL.jpg","http://examplebusiness.comwp-content/uploads/2014/11/CPA-White-Paper-XXL.jpg")</f>
        <v>http://examplebusiness.comwp-content/uploads/2014/11/CPA-White-Paper-XXL.jpg</v>
      </c>
      <c r="B542" s="34">
        <v>4</v>
      </c>
      <c r="C542" s="34">
        <v>0</v>
      </c>
      <c r="D542" s="34">
        <v>0</v>
      </c>
      <c r="E542" s="34">
        <v>0</v>
      </c>
      <c r="F542" s="34">
        <v>301</v>
      </c>
      <c r="G542" s="34">
        <v>0</v>
      </c>
      <c r="H542" s="34"/>
      <c r="I542" s="34" t="s">
        <v>1561</v>
      </c>
      <c r="J542" s="34" t="s">
        <v>1561</v>
      </c>
      <c r="K542" s="107" t="s">
        <v>1561</v>
      </c>
      <c r="L542" s="34" t="s">
        <v>1561</v>
      </c>
    </row>
    <row r="543" spans="1:12" ht="16.5" x14ac:dyDescent="0.35">
      <c r="A543" s="106" t="str">
        <f>HYPERLINK("http://examplebusiness.comwp-content/uploads/2014/11/happy-thanksgiving-2014-220x130.jpg","http://examplebusiness.comwp-content/uploads/2014/11/happy-thanksgiving-2014-220x130.jpg")</f>
        <v>http://examplebusiness.comwp-content/uploads/2014/11/happy-thanksgiving-2014-220x130.jpg</v>
      </c>
      <c r="B543" s="34">
        <v>4</v>
      </c>
      <c r="C543" s="34">
        <v>0</v>
      </c>
      <c r="D543" s="34">
        <v>0</v>
      </c>
      <c r="E543" s="34">
        <v>0</v>
      </c>
      <c r="F543" s="34">
        <v>301</v>
      </c>
      <c r="G543" s="34">
        <v>0</v>
      </c>
      <c r="H543" s="34"/>
      <c r="I543" s="34" t="s">
        <v>1561</v>
      </c>
      <c r="J543" s="34" t="s">
        <v>1561</v>
      </c>
      <c r="K543" s="107" t="s">
        <v>1561</v>
      </c>
      <c r="L543" s="34" t="s">
        <v>1561</v>
      </c>
    </row>
    <row r="544" spans="1:12" ht="16.5" x14ac:dyDescent="0.35">
      <c r="A544" s="106" t="str">
        <f>HYPERLINK("http://examplebusiness.comwp-content/uploads/2014/11/happy-thanksgiving-2014-700x240.jpg","http://examplebusiness.comwp-content/uploads/2014/11/happy-thanksgiving-2014-700x240.jpg")</f>
        <v>http://examplebusiness.comwp-content/uploads/2014/11/happy-thanksgiving-2014-700x240.jpg</v>
      </c>
      <c r="B544" s="34">
        <v>4</v>
      </c>
      <c r="C544" s="34">
        <v>0</v>
      </c>
      <c r="D544" s="34">
        <v>0</v>
      </c>
      <c r="E544" s="34">
        <v>0</v>
      </c>
      <c r="F544" s="34">
        <v>301</v>
      </c>
      <c r="G544" s="34">
        <v>0</v>
      </c>
      <c r="H544" s="34"/>
      <c r="I544" s="34" t="s">
        <v>1561</v>
      </c>
      <c r="J544" s="34" t="s">
        <v>1561</v>
      </c>
      <c r="K544" s="107" t="s">
        <v>1561</v>
      </c>
      <c r="L544" s="34" t="s">
        <v>1561</v>
      </c>
    </row>
    <row r="545" spans="1:12" ht="16.5" x14ac:dyDescent="0.35">
      <c r="A545" s="106" t="str">
        <f>HYPERLINK("http://examplebusiness.comwp-content/uploads/2014/11/Mike-rogers-abc-financial-minneapolis-150x150.jpg","http://examplebusiness.comwp-content/uploads/2014/11/Mike-rogers-abc-financial-minneapolis-150x150.jpg")</f>
        <v>http://examplebusiness.comwp-content/uploads/2014/11/Mike-rogers-abc-financial-minneapolis-150x150.jpg</v>
      </c>
      <c r="B545" s="34">
        <v>4</v>
      </c>
      <c r="C545" s="34">
        <v>0</v>
      </c>
      <c r="D545" s="34">
        <v>0</v>
      </c>
      <c r="E545" s="34">
        <v>0</v>
      </c>
      <c r="F545" s="34">
        <v>301</v>
      </c>
      <c r="G545" s="34">
        <v>0</v>
      </c>
      <c r="H545" s="34"/>
      <c r="I545" s="34" t="s">
        <v>1561</v>
      </c>
      <c r="J545" s="34" t="s">
        <v>1561</v>
      </c>
      <c r="K545" s="107" t="s">
        <v>1561</v>
      </c>
      <c r="L545" s="34" t="s">
        <v>1561</v>
      </c>
    </row>
    <row r="546" spans="1:12" ht="16.5" x14ac:dyDescent="0.35">
      <c r="A546" s="106" t="str">
        <f>HYPERLINK("http://examplebusiness.comwp-content/uploads/2014/11/Mike-rogers-abc-financial-minneapolis.jpg","http://examplebusiness.comwp-content/uploads/2014/11/Mike-rogers-abc-financial-minneapolis.jpg")</f>
        <v>http://examplebusiness.comwp-content/uploads/2014/11/Mike-rogers-abc-financial-minneapolis.jpg</v>
      </c>
      <c r="B546" s="34">
        <v>4</v>
      </c>
      <c r="C546" s="34">
        <v>0</v>
      </c>
      <c r="D546" s="34">
        <v>0</v>
      </c>
      <c r="E546" s="34">
        <v>0</v>
      </c>
      <c r="F546" s="34">
        <v>301</v>
      </c>
      <c r="G546" s="34">
        <v>0</v>
      </c>
      <c r="H546" s="34"/>
      <c r="I546" s="34" t="s">
        <v>1561</v>
      </c>
      <c r="J546" s="34" t="s">
        <v>1561</v>
      </c>
      <c r="K546" s="107" t="s">
        <v>1561</v>
      </c>
      <c r="L546" s="34" t="s">
        <v>1561</v>
      </c>
    </row>
    <row r="547" spans="1:12" ht="16.5" x14ac:dyDescent="0.35">
      <c r="A547" s="106" t="str">
        <f>HYPERLINK("http://examplebusiness.comwp-content/uploads/2014/11/retirement-planning-mistakes-3-150x150.jpg","http://examplebusiness.comwp-content/uploads/2014/11/retirement-planning-mistakes-3-150x150.jpg")</f>
        <v>http://examplebusiness.comwp-content/uploads/2014/11/retirement-planning-mistakes-3-150x150.jpg</v>
      </c>
      <c r="B547" s="34">
        <v>4</v>
      </c>
      <c r="C547" s="34">
        <v>0</v>
      </c>
      <c r="D547" s="34">
        <v>0</v>
      </c>
      <c r="E547" s="34">
        <v>0</v>
      </c>
      <c r="F547" s="34">
        <v>301</v>
      </c>
      <c r="G547" s="34">
        <v>0</v>
      </c>
      <c r="H547" s="34"/>
      <c r="I547" s="34" t="s">
        <v>1561</v>
      </c>
      <c r="J547" s="34" t="s">
        <v>1561</v>
      </c>
      <c r="K547" s="107" t="s">
        <v>1561</v>
      </c>
      <c r="L547" s="34" t="s">
        <v>1561</v>
      </c>
    </row>
    <row r="548" spans="1:12" ht="16.5" x14ac:dyDescent="0.35">
      <c r="A548" s="106" t="str">
        <f>HYPERLINK("http://examplebusiness.comwp-content/uploads/2014/11/retirement-planning-mistakes-3.jpg","http://examplebusiness.comwp-content/uploads/2014/11/retirement-planning-mistakes-3.jpg")</f>
        <v>http://examplebusiness.comwp-content/uploads/2014/11/retirement-planning-mistakes-3.jpg</v>
      </c>
      <c r="B548" s="34">
        <v>4</v>
      </c>
      <c r="C548" s="34">
        <v>0</v>
      </c>
      <c r="D548" s="34">
        <v>0</v>
      </c>
      <c r="E548" s="34">
        <v>0</v>
      </c>
      <c r="F548" s="34">
        <v>301</v>
      </c>
      <c r="G548" s="34">
        <v>0</v>
      </c>
      <c r="H548" s="34"/>
      <c r="I548" s="34" t="s">
        <v>1561</v>
      </c>
      <c r="J548" s="34" t="s">
        <v>1561</v>
      </c>
      <c r="K548" s="107" t="s">
        <v>1561</v>
      </c>
      <c r="L548" s="34" t="s">
        <v>1561</v>
      </c>
    </row>
    <row r="549" spans="1:12" ht="16.5" x14ac:dyDescent="0.35">
      <c r="A549" s="106" t="str">
        <f>HYPERLINK("http://examplebusiness.comwp-content/uploads/2014/11/retirement-planning-mistakes-4-700x240.jpg","http://examplebusiness.comwp-content/uploads/2014/11/retirement-planning-mistakes-4-700x240.jpg")</f>
        <v>http://examplebusiness.comwp-content/uploads/2014/11/retirement-planning-mistakes-4-700x240.jpg</v>
      </c>
      <c r="B549" s="34">
        <v>4</v>
      </c>
      <c r="C549" s="34">
        <v>0</v>
      </c>
      <c r="D549" s="34">
        <v>0</v>
      </c>
      <c r="E549" s="34">
        <v>0</v>
      </c>
      <c r="F549" s="34">
        <v>301</v>
      </c>
      <c r="G549" s="34">
        <v>0</v>
      </c>
      <c r="H549" s="34"/>
      <c r="I549" s="34" t="s">
        <v>1561</v>
      </c>
      <c r="J549" s="34" t="s">
        <v>1561</v>
      </c>
      <c r="K549" s="107" t="s">
        <v>1561</v>
      </c>
      <c r="L549" s="34" t="s">
        <v>1561</v>
      </c>
    </row>
    <row r="550" spans="1:12" ht="16.5" x14ac:dyDescent="0.35">
      <c r="A550" s="106" t="str">
        <f>HYPERLINK("http://examplebusiness.comwp-content/uploads/2014/12/fmsc-2014a.jpg","http://examplebusiness.comwp-content/uploads/2014/12/fmsc-2014a.jpg")</f>
        <v>http://examplebusiness.comwp-content/uploads/2014/12/fmsc-2014a.jpg</v>
      </c>
      <c r="B550" s="34">
        <v>4</v>
      </c>
      <c r="C550" s="34">
        <v>0</v>
      </c>
      <c r="D550" s="34">
        <v>0</v>
      </c>
      <c r="E550" s="34">
        <v>0</v>
      </c>
      <c r="F550" s="34">
        <v>301</v>
      </c>
      <c r="G550" s="34">
        <v>0</v>
      </c>
      <c r="H550" s="34"/>
      <c r="I550" s="34" t="s">
        <v>1561</v>
      </c>
      <c r="J550" s="34" t="s">
        <v>1561</v>
      </c>
      <c r="K550" s="107" t="s">
        <v>1561</v>
      </c>
      <c r="L550" s="34" t="s">
        <v>1561</v>
      </c>
    </row>
    <row r="551" spans="1:12" ht="16.5" x14ac:dyDescent="0.35">
      <c r="A551" s="106" t="str">
        <f>HYPERLINK("http://examplebusiness.comwp-content/uploads/2014/12/fmsc-2014c.jpg","http://examplebusiness.comwp-content/uploads/2014/12/fmsc-2014c.jpg")</f>
        <v>http://examplebusiness.comwp-content/uploads/2014/12/fmsc-2014c.jpg</v>
      </c>
      <c r="B551" s="34">
        <v>4</v>
      </c>
      <c r="C551" s="34">
        <v>0</v>
      </c>
      <c r="D551" s="34">
        <v>0</v>
      </c>
      <c r="E551" s="34">
        <v>0</v>
      </c>
      <c r="F551" s="34">
        <v>301</v>
      </c>
      <c r="G551" s="34">
        <v>0</v>
      </c>
      <c r="H551" s="34"/>
      <c r="I551" s="34" t="s">
        <v>1561</v>
      </c>
      <c r="J551" s="34" t="s">
        <v>1561</v>
      </c>
      <c r="K551" s="107" t="s">
        <v>1561</v>
      </c>
      <c r="L551" s="34" t="s">
        <v>1561</v>
      </c>
    </row>
    <row r="552" spans="1:12" ht="16.5" x14ac:dyDescent="0.35">
      <c r="A552" s="106" t="str">
        <f>HYPERLINK("http://examplebusiness.comwp-content/uploads/2014/12/fmsc-2014d.jpg","http://examplebusiness.comwp-content/uploads/2014/12/fmsc-2014d.jpg")</f>
        <v>http://examplebusiness.comwp-content/uploads/2014/12/fmsc-2014d.jpg</v>
      </c>
      <c r="B552" s="34">
        <v>4</v>
      </c>
      <c r="C552" s="34">
        <v>0</v>
      </c>
      <c r="D552" s="34">
        <v>0</v>
      </c>
      <c r="E552" s="34">
        <v>0</v>
      </c>
      <c r="F552" s="34">
        <v>301</v>
      </c>
      <c r="G552" s="34">
        <v>0</v>
      </c>
      <c r="H552" s="34"/>
      <c r="I552" s="34" t="s">
        <v>1561</v>
      </c>
      <c r="J552" s="34" t="s">
        <v>1561</v>
      </c>
      <c r="K552" s="107" t="s">
        <v>1561</v>
      </c>
      <c r="L552" s="34" t="s">
        <v>1561</v>
      </c>
    </row>
    <row r="553" spans="1:12" ht="16.5" x14ac:dyDescent="0.35">
      <c r="A553" s="110" t="str">
        <f>HYPERLINK("http://examplebusiness.comwp-content/uploads/2014/12/year-end-financial-checklist-220x130.jpg","http://examplebusiness.comwp-content/uploads/2014/12/year-end-financial-checklist-220x130.jpg")</f>
        <v>http://examplebusiness.comwp-content/uploads/2014/12/year-end-financial-checklist-220x130.jpg</v>
      </c>
      <c r="B553" s="34">
        <v>4</v>
      </c>
      <c r="C553" s="34">
        <v>0</v>
      </c>
      <c r="D553" s="34">
        <v>0</v>
      </c>
      <c r="E553" s="34">
        <v>0</v>
      </c>
      <c r="F553" s="34">
        <v>301</v>
      </c>
      <c r="G553" s="34">
        <v>0</v>
      </c>
      <c r="H553" s="34"/>
      <c r="I553" s="34" t="s">
        <v>1561</v>
      </c>
      <c r="J553" s="34" t="s">
        <v>1561</v>
      </c>
      <c r="K553" s="107" t="s">
        <v>1561</v>
      </c>
      <c r="L553" s="34" t="s">
        <v>1561</v>
      </c>
    </row>
    <row r="554" spans="1:12" ht="16.5" x14ac:dyDescent="0.35">
      <c r="A554" s="106" t="str">
        <f>HYPERLINK("http://examplebusiness.comwp-content/uploads/2014/12/year-end-financial-checklist-700x240.jpg","http://examplebusiness.comwp-content/uploads/2014/12/year-end-financial-checklist-700x240.jpg")</f>
        <v>http://examplebusiness.comwp-content/uploads/2014/12/year-end-financial-checklist-700x240.jpg</v>
      </c>
      <c r="B554" s="34">
        <v>4</v>
      </c>
      <c r="C554" s="34">
        <v>0</v>
      </c>
      <c r="D554" s="34">
        <v>0</v>
      </c>
      <c r="E554" s="34">
        <v>0</v>
      </c>
      <c r="F554" s="34">
        <v>301</v>
      </c>
      <c r="G554" s="34">
        <v>0</v>
      </c>
      <c r="H554" s="34"/>
      <c r="I554" s="34" t="s">
        <v>1561</v>
      </c>
      <c r="J554" s="34" t="s">
        <v>1561</v>
      </c>
      <c r="K554" s="107" t="s">
        <v>1561</v>
      </c>
      <c r="L554" s="34" t="s">
        <v>1561</v>
      </c>
    </row>
    <row r="555" spans="1:12" ht="16.5" x14ac:dyDescent="0.35">
      <c r="A555" s="110" t="str">
        <f>HYPERLINK("http://examplebusiness.comwp-content/uploads/2015/01/abc-financial-new-years-financial-resolutions-700x240.jpg","http://examplebusiness.comwp-content/uploads/2015/01/abc-financial-new-years-financial-resolutions-700x240.jpg")</f>
        <v>http://examplebusiness.comwp-content/uploads/2015/01/abc-financial-new-years-financial-resolutions-700x240.jpg</v>
      </c>
      <c r="B555" s="34">
        <v>4</v>
      </c>
      <c r="C555" s="34">
        <v>0</v>
      </c>
      <c r="D555" s="34">
        <v>0</v>
      </c>
      <c r="E555" s="34">
        <v>0</v>
      </c>
      <c r="F555" s="34">
        <v>301</v>
      </c>
      <c r="G555" s="34">
        <v>0</v>
      </c>
      <c r="H555" s="34"/>
      <c r="I555" s="34" t="s">
        <v>1561</v>
      </c>
      <c r="J555" s="34" t="s">
        <v>1561</v>
      </c>
      <c r="K555" s="107" t="s">
        <v>1561</v>
      </c>
      <c r="L555" s="34" t="s">
        <v>1561</v>
      </c>
    </row>
    <row r="556" spans="1:12" ht="16.5" x14ac:dyDescent="0.35">
      <c r="A556" s="110" t="str">
        <f>HYPERLINK("http://examplebusiness.comwp-content/uploads/2015/01/how-to-build-wealth-minneapolis-220x130.jpg","http://examplebusiness.comwp-content/uploads/2015/01/how-to-build-wealth-minneapolis-220x130.jpg")</f>
        <v>http://examplebusiness.comwp-content/uploads/2015/01/how-to-build-wealth-minneapolis-220x130.jpg</v>
      </c>
      <c r="B556" s="34">
        <v>4</v>
      </c>
      <c r="C556" s="34">
        <v>0</v>
      </c>
      <c r="D556" s="34">
        <v>0</v>
      </c>
      <c r="E556" s="34">
        <v>0</v>
      </c>
      <c r="F556" s="34">
        <v>301</v>
      </c>
      <c r="G556" s="34">
        <v>0</v>
      </c>
      <c r="H556" s="34"/>
      <c r="I556" s="34" t="s">
        <v>1561</v>
      </c>
      <c r="J556" s="34" t="s">
        <v>1561</v>
      </c>
      <c r="K556" s="107" t="s">
        <v>1561</v>
      </c>
      <c r="L556" s="34" t="s">
        <v>1561</v>
      </c>
    </row>
    <row r="557" spans="1:12" ht="16.5" x14ac:dyDescent="0.35">
      <c r="A557" s="110" t="str">
        <f>HYPERLINK("http://examplebusiness.comwp-content/uploads/2015/01/how-to-build-wealth-minneapolis-700x240.jpg","http://examplebusiness.comwp-content/uploads/2015/01/how-to-build-wealth-minneapolis-700x240.jpg")</f>
        <v>http://examplebusiness.comwp-content/uploads/2015/01/how-to-build-wealth-minneapolis-700x240.jpg</v>
      </c>
      <c r="B557" s="34">
        <v>4</v>
      </c>
      <c r="C557" s="34">
        <v>0</v>
      </c>
      <c r="D557" s="34">
        <v>0</v>
      </c>
      <c r="E557" s="34">
        <v>0</v>
      </c>
      <c r="F557" s="34">
        <v>301</v>
      </c>
      <c r="G557" s="34">
        <v>0</v>
      </c>
      <c r="H557" s="34"/>
      <c r="I557" s="34" t="s">
        <v>1561</v>
      </c>
      <c r="J557" s="34" t="s">
        <v>1561</v>
      </c>
      <c r="K557" s="107" t="s">
        <v>1561</v>
      </c>
      <c r="L557" s="34" t="s">
        <v>1561</v>
      </c>
    </row>
    <row r="558" spans="1:12" ht="16.5" x14ac:dyDescent="0.35">
      <c r="A558" s="106" t="str">
        <f>HYPERLINK("http://examplebusiness.comwp-content/uploads/2015/01/JAN-2015-EVENT-sm3-220x130.jpg","http://examplebusiness.comwp-content/uploads/2015/01/JAN-2015-EVENT-sm3-220x130.jpg")</f>
        <v>http://examplebusiness.comwp-content/uploads/2015/01/JAN-2015-EVENT-sm3-220x130.jpg</v>
      </c>
      <c r="B558" s="34">
        <v>4</v>
      </c>
      <c r="C558" s="34">
        <v>0</v>
      </c>
      <c r="D558" s="34">
        <v>0</v>
      </c>
      <c r="E558" s="34">
        <v>0</v>
      </c>
      <c r="F558" s="34">
        <v>301</v>
      </c>
      <c r="G558" s="34">
        <v>0</v>
      </c>
      <c r="H558" s="34"/>
      <c r="I558" s="34" t="s">
        <v>1561</v>
      </c>
      <c r="J558" s="34" t="s">
        <v>1561</v>
      </c>
      <c r="K558" s="107" t="s">
        <v>1561</v>
      </c>
      <c r="L558" s="34" t="s">
        <v>1561</v>
      </c>
    </row>
    <row r="559" spans="1:12" ht="16.5" x14ac:dyDescent="0.35">
      <c r="A559" s="106" t="str">
        <f>HYPERLINK("http://examplebusiness.comwp-content/uploads/2015/01/JAN-2015-EVENT-sm3-700x240.jpg","http://examplebusiness.comwp-content/uploads/2015/01/JAN-2015-EVENT-sm3-700x240.jpg")</f>
        <v>http://examplebusiness.comwp-content/uploads/2015/01/JAN-2015-EVENT-sm3-700x240.jpg</v>
      </c>
      <c r="B559" s="34">
        <v>4</v>
      </c>
      <c r="C559" s="34">
        <v>0</v>
      </c>
      <c r="D559" s="34">
        <v>0</v>
      </c>
      <c r="E559" s="34">
        <v>0</v>
      </c>
      <c r="F559" s="34">
        <v>301</v>
      </c>
      <c r="G559" s="34">
        <v>0</v>
      </c>
      <c r="H559" s="34"/>
      <c r="I559" s="34" t="s">
        <v>1561</v>
      </c>
      <c r="J559" s="34" t="s">
        <v>1561</v>
      </c>
      <c r="K559" s="107" t="s">
        <v>1561</v>
      </c>
      <c r="L559" s="34" t="s">
        <v>1561</v>
      </c>
    </row>
    <row r="560" spans="1:12" ht="16.5" x14ac:dyDescent="0.35">
      <c r="A560" s="106" t="str">
        <f>HYPERLINK("http://examplebusiness.comwp-content/uploads/2015/03/protect-your-financial-assets-2-220x130.jpg","http://examplebusiness.comwp-content/uploads/2015/03/protect-your-financial-assets-2-220x130.jpg")</f>
        <v>http://examplebusiness.comwp-content/uploads/2015/03/protect-your-financial-assets-2-220x130.jpg</v>
      </c>
      <c r="B560" s="34">
        <v>4</v>
      </c>
      <c r="C560" s="34">
        <v>0</v>
      </c>
      <c r="D560" s="34">
        <v>0</v>
      </c>
      <c r="E560" s="34">
        <v>0</v>
      </c>
      <c r="F560" s="34">
        <v>301</v>
      </c>
      <c r="G560" s="34">
        <v>0</v>
      </c>
      <c r="H560" s="34"/>
      <c r="I560" s="34" t="s">
        <v>1561</v>
      </c>
      <c r="J560" s="34" t="s">
        <v>1561</v>
      </c>
      <c r="K560" s="107" t="s">
        <v>1561</v>
      </c>
      <c r="L560" s="34" t="s">
        <v>1561</v>
      </c>
    </row>
    <row r="561" spans="1:12" ht="16.5" x14ac:dyDescent="0.35">
      <c r="A561" s="106" t="str">
        <f>HYPERLINK("http://examplebusiness.comwp-content/uploads/2015/03/protect-your-financial-assets-2-504x240.jpg","http://examplebusiness.comwp-content/uploads/2015/03/protect-your-financial-assets-2-504x240.jpg")</f>
        <v>http://examplebusiness.comwp-content/uploads/2015/03/protect-your-financial-assets-2-504x240.jpg</v>
      </c>
      <c r="B561" s="34">
        <v>4</v>
      </c>
      <c r="C561" s="34">
        <v>0</v>
      </c>
      <c r="D561" s="34">
        <v>0</v>
      </c>
      <c r="E561" s="34">
        <v>0</v>
      </c>
      <c r="F561" s="34">
        <v>301</v>
      </c>
      <c r="G561" s="34">
        <v>0</v>
      </c>
      <c r="H561" s="34"/>
      <c r="I561" s="34" t="s">
        <v>1561</v>
      </c>
      <c r="J561" s="34" t="s">
        <v>1561</v>
      </c>
      <c r="K561" s="107" t="s">
        <v>1561</v>
      </c>
      <c r="L561" s="34" t="s">
        <v>1561</v>
      </c>
    </row>
    <row r="562" spans="1:12" ht="16.5" x14ac:dyDescent="0.35">
      <c r="A562" s="106" t="str">
        <f>HYPERLINK("http://examplebusiness.comwp-content/uploads/2015/04/401k-rollover-minneapolis-mn-minnetonka-220x130.jpg","http://examplebusiness.comwp-content/uploads/2015/04/401k-rollover-minneapolis-mn-minnetonka-220x130.jpg")</f>
        <v>http://examplebusiness.comwp-content/uploads/2015/04/401k-rollover-minneapolis-mn-minnetonka-220x130.jpg</v>
      </c>
      <c r="B562" s="34">
        <v>4</v>
      </c>
      <c r="C562" s="34">
        <v>0</v>
      </c>
      <c r="D562" s="34">
        <v>0</v>
      </c>
      <c r="E562" s="34">
        <v>0</v>
      </c>
      <c r="F562" s="34">
        <v>301</v>
      </c>
      <c r="G562" s="34">
        <v>0</v>
      </c>
      <c r="H562" s="34"/>
      <c r="I562" s="34" t="s">
        <v>1561</v>
      </c>
      <c r="J562" s="34" t="s">
        <v>1561</v>
      </c>
      <c r="K562" s="107" t="s">
        <v>1561</v>
      </c>
      <c r="L562" s="34" t="s">
        <v>1561</v>
      </c>
    </row>
    <row r="563" spans="1:12" ht="16.5" x14ac:dyDescent="0.35">
      <c r="A563" s="106" t="str">
        <f>HYPERLINK("http://examplebusiness.comwp-content/uploads/2015/04/401k-rollover-minneapolis-mn-minnetonka-700x240.jpg","http://examplebusiness.comwp-content/uploads/2015/04/401k-rollover-minneapolis-mn-minnetonka-700x240.jpg")</f>
        <v>http://examplebusiness.comwp-content/uploads/2015/04/401k-rollover-minneapolis-mn-minnetonka-700x240.jpg</v>
      </c>
      <c r="B563" s="34">
        <v>4</v>
      </c>
      <c r="C563" s="34">
        <v>0</v>
      </c>
      <c r="D563" s="34">
        <v>0</v>
      </c>
      <c r="E563" s="34">
        <v>0</v>
      </c>
      <c r="F563" s="34">
        <v>301</v>
      </c>
      <c r="G563" s="34">
        <v>0</v>
      </c>
      <c r="H563" s="34"/>
      <c r="I563" s="34" t="s">
        <v>1561</v>
      </c>
      <c r="J563" s="34" t="s">
        <v>1561</v>
      </c>
      <c r="K563" s="107" t="s">
        <v>1561</v>
      </c>
      <c r="L563" s="34" t="s">
        <v>1561</v>
      </c>
    </row>
    <row r="564" spans="1:12" ht="16.5" x14ac:dyDescent="0.35">
      <c r="A564" s="106" t="str">
        <f>HYPERLINK("http://examplebusiness.comwp-content/uploads/2015/04/high-net-worth-individuals.jpg","http://examplebusiness.comwp-content/uploads/2015/04/high-net-worth-individuals.jpg")</f>
        <v>http://examplebusiness.comwp-content/uploads/2015/04/high-net-worth-individuals.jpg</v>
      </c>
      <c r="B564" s="34">
        <v>4</v>
      </c>
      <c r="C564" s="34">
        <v>0</v>
      </c>
      <c r="D564" s="34">
        <v>0</v>
      </c>
      <c r="E564" s="34">
        <v>0</v>
      </c>
      <c r="F564" s="34">
        <v>301</v>
      </c>
      <c r="G564" s="34">
        <v>0</v>
      </c>
      <c r="H564" s="34"/>
      <c r="I564" s="34" t="s">
        <v>1561</v>
      </c>
      <c r="J564" s="34" t="s">
        <v>1561</v>
      </c>
      <c r="K564" s="107" t="s">
        <v>1561</v>
      </c>
      <c r="L564" s="34" t="s">
        <v>1561</v>
      </c>
    </row>
    <row r="565" spans="1:12" ht="16.5" x14ac:dyDescent="0.35">
      <c r="A565" s="106" t="str">
        <f>HYPERLINK("http://examplebusiness.comwp-content/uploads/2015/07/2015-lake-minnetonka-triathlon-1.jpg","http://examplebusiness.comwp-content/uploads/2015/07/2015-lake-minnetonka-triathlon-1.jpg")</f>
        <v>http://examplebusiness.comwp-content/uploads/2015/07/2015-lake-minnetonka-triathlon-1.jpg</v>
      </c>
      <c r="B565" s="34">
        <v>4</v>
      </c>
      <c r="C565" s="34">
        <v>0</v>
      </c>
      <c r="D565" s="34">
        <v>0</v>
      </c>
      <c r="E565" s="34">
        <v>0</v>
      </c>
      <c r="F565" s="34">
        <v>301</v>
      </c>
      <c r="G565" s="34">
        <v>0</v>
      </c>
      <c r="H565" s="34"/>
      <c r="I565" s="34" t="s">
        <v>1561</v>
      </c>
      <c r="J565" s="34" t="s">
        <v>1561</v>
      </c>
      <c r="K565" s="107" t="s">
        <v>1561</v>
      </c>
      <c r="L565" s="34" t="s">
        <v>1561</v>
      </c>
    </row>
    <row r="566" spans="1:12" ht="16.5" x14ac:dyDescent="0.35">
      <c r="A566" s="106" t="str">
        <f>HYPERLINK("http://examplebusiness.comwp-content/uploads/2015/07/2015-lake-minnetonka-triathlon-2.jpg","http://examplebusiness.comwp-content/uploads/2015/07/2015-lake-minnetonka-triathlon-2.jpg")</f>
        <v>http://examplebusiness.comwp-content/uploads/2015/07/2015-lake-minnetonka-triathlon-2.jpg</v>
      </c>
      <c r="B566" s="34">
        <v>4</v>
      </c>
      <c r="C566" s="34">
        <v>0</v>
      </c>
      <c r="D566" s="34">
        <v>0</v>
      </c>
      <c r="E566" s="34">
        <v>0</v>
      </c>
      <c r="F566" s="34">
        <v>301</v>
      </c>
      <c r="G566" s="34">
        <v>0</v>
      </c>
      <c r="H566" s="34"/>
      <c r="I566" s="34" t="s">
        <v>1561</v>
      </c>
      <c r="J566" s="34" t="s">
        <v>1561</v>
      </c>
      <c r="K566" s="107" t="s">
        <v>1561</v>
      </c>
      <c r="L566" s="34" t="s">
        <v>1561</v>
      </c>
    </row>
    <row r="567" spans="1:12" ht="16.5" x14ac:dyDescent="0.35">
      <c r="A567" s="106" t="str">
        <f>HYPERLINK("http://examplebusiness.comwp-content/uploads/2015/07/road-to-retirment-blog-image-220x130.jpg","http://examplebusiness.comwp-content/uploads/2015/07/road-to-retirment-blog-image-220x130.jpg")</f>
        <v>http://examplebusiness.comwp-content/uploads/2015/07/road-to-retirment-blog-image-220x130.jpg</v>
      </c>
      <c r="B567" s="34">
        <v>4</v>
      </c>
      <c r="C567" s="34">
        <v>0</v>
      </c>
      <c r="D567" s="34">
        <v>0</v>
      </c>
      <c r="E567" s="34">
        <v>0</v>
      </c>
      <c r="F567" s="34">
        <v>301</v>
      </c>
      <c r="G567" s="34">
        <v>0</v>
      </c>
      <c r="H567" s="34"/>
      <c r="I567" s="34" t="s">
        <v>1561</v>
      </c>
      <c r="J567" s="34" t="s">
        <v>1561</v>
      </c>
      <c r="K567" s="107" t="s">
        <v>1561</v>
      </c>
      <c r="L567" s="34" t="s">
        <v>1561</v>
      </c>
    </row>
    <row r="568" spans="1:12" ht="16.5" x14ac:dyDescent="0.35">
      <c r="A568" s="106" t="str">
        <f>HYPERLINK("http://examplebusiness.comwp-content/uploads/2015/07/road-to-retirment-blog-image-700x240.jpg","http://examplebusiness.comwp-content/uploads/2015/07/road-to-retirment-blog-image-700x240.jpg")</f>
        <v>http://examplebusiness.comwp-content/uploads/2015/07/road-to-retirment-blog-image-700x240.jpg</v>
      </c>
      <c r="B568" s="34">
        <v>4</v>
      </c>
      <c r="C568" s="34">
        <v>0</v>
      </c>
      <c r="D568" s="34">
        <v>0</v>
      </c>
      <c r="E568" s="34">
        <v>0</v>
      </c>
      <c r="F568" s="34">
        <v>301</v>
      </c>
      <c r="G568" s="34">
        <v>0</v>
      </c>
      <c r="H568" s="34"/>
      <c r="I568" s="34" t="s">
        <v>1561</v>
      </c>
      <c r="J568" s="34" t="s">
        <v>1561</v>
      </c>
      <c r="K568" s="107" t="s">
        <v>1561</v>
      </c>
      <c r="L568" s="34" t="s">
        <v>1561</v>
      </c>
    </row>
    <row r="569" spans="1:12" ht="16.5" x14ac:dyDescent="0.35">
      <c r="A569" s="106" t="str">
        <f>HYPERLINK("http://examplebusiness.comwp-content/uploads/2015/08/abcFinancial-Asset-Protection-Final.jpg","http://examplebusiness.comwp-content/uploads/2015/08/abcFinancial-Asset-Protection-Final.jpg")</f>
        <v>http://examplebusiness.comwp-content/uploads/2015/08/abcFinancial-Asset-Protection-Final.jpg</v>
      </c>
      <c r="B569" s="34">
        <v>4</v>
      </c>
      <c r="C569" s="34">
        <v>0</v>
      </c>
      <c r="D569" s="34">
        <v>0</v>
      </c>
      <c r="E569" s="34">
        <v>0</v>
      </c>
      <c r="F569" s="34">
        <v>301</v>
      </c>
      <c r="G569" s="34">
        <v>0</v>
      </c>
      <c r="H569" s="34"/>
      <c r="I569" s="34" t="s">
        <v>1561</v>
      </c>
      <c r="J569" s="34" t="s">
        <v>1561</v>
      </c>
      <c r="K569" s="107" t="s">
        <v>1561</v>
      </c>
      <c r="L569" s="34" t="s">
        <v>1561</v>
      </c>
    </row>
    <row r="570" spans="1:12" ht="16.5" x14ac:dyDescent="0.35">
      <c r="A570" s="106" t="str">
        <f>HYPERLINK("http://examplebusiness.comwp-content/uploads/2015/08/abcFinancial-Types-Of-IRAs-Final.jpg","http://examplebusiness.comwp-content/uploads/2015/08/abcFinancial-Types-Of-IRAs-Final.jpg")</f>
        <v>http://examplebusiness.comwp-content/uploads/2015/08/abcFinancial-Types-Of-IRAs-Final.jpg</v>
      </c>
      <c r="B570" s="34">
        <v>4</v>
      </c>
      <c r="C570" s="34">
        <v>0</v>
      </c>
      <c r="D570" s="34">
        <v>0</v>
      </c>
      <c r="E570" s="34">
        <v>0</v>
      </c>
      <c r="F570" s="34">
        <v>301</v>
      </c>
      <c r="G570" s="34">
        <v>0</v>
      </c>
      <c r="H570" s="34"/>
      <c r="I570" s="34" t="s">
        <v>1561</v>
      </c>
      <c r="J570" s="34" t="s">
        <v>1561</v>
      </c>
      <c r="K570" s="107" t="s">
        <v>1561</v>
      </c>
      <c r="L570" s="34" t="s">
        <v>1561</v>
      </c>
    </row>
    <row r="571" spans="1:12" ht="16.5" x14ac:dyDescent="0.35">
      <c r="A571" s="106" t="str">
        <f>HYPERLINK("http://examplebusiness.comwp-content/uploads/2015/09/high-net-worth-individuals--940x300.jpg","http://examplebusiness.comwp-content/uploads/2015/09/high-net-worth-individuals--940x300.jpg")</f>
        <v>http://examplebusiness.comwp-content/uploads/2015/09/high-net-worth-individuals--940x300.jpg</v>
      </c>
      <c r="B571" s="34">
        <v>4</v>
      </c>
      <c r="C571" s="34">
        <v>0</v>
      </c>
      <c r="D571" s="34">
        <v>0</v>
      </c>
      <c r="E571" s="34">
        <v>0</v>
      </c>
      <c r="F571" s="34">
        <v>301</v>
      </c>
      <c r="G571" s="34">
        <v>0</v>
      </c>
      <c r="H571" s="34"/>
      <c r="I571" s="34" t="s">
        <v>1561</v>
      </c>
      <c r="J571" s="34" t="s">
        <v>1561</v>
      </c>
      <c r="K571" s="107" t="s">
        <v>1561</v>
      </c>
      <c r="L571" s="34" t="s">
        <v>1561</v>
      </c>
    </row>
    <row r="572" spans="1:12" ht="16.5" x14ac:dyDescent="0.35">
      <c r="A572" s="106" t="str">
        <f>HYPERLINK("http://examplebusiness.comwp-content/uploads/2016/02/Caroline-McMahon.jpg","http://examplebusiness.comwp-content/uploads/2016/02/Caroline-McMahon.jpg")</f>
        <v>http://examplebusiness.comwp-content/uploads/2016/02/Caroline-McMahon.jpg</v>
      </c>
      <c r="B572" s="34">
        <v>4</v>
      </c>
      <c r="C572" s="34">
        <v>0</v>
      </c>
      <c r="D572" s="34">
        <v>0</v>
      </c>
      <c r="E572" s="34">
        <v>0</v>
      </c>
      <c r="F572" s="34">
        <v>301</v>
      </c>
      <c r="G572" s="34">
        <v>0</v>
      </c>
      <c r="H572" s="34"/>
      <c r="I572" s="34" t="s">
        <v>1561</v>
      </c>
      <c r="J572" s="34" t="s">
        <v>1561</v>
      </c>
      <c r="K572" s="107" t="s">
        <v>1561</v>
      </c>
      <c r="L572" s="34" t="s">
        <v>1561</v>
      </c>
    </row>
    <row r="573" spans="1:12" ht="16.5" x14ac:dyDescent="0.35">
      <c r="A573" s="106" t="str">
        <f>HYPERLINK("http://examplebusiness.comwp-content/uploads/2016/02/Robert-Withers.jpg","http://examplebusiness.comwp-content/uploads/2016/02/Robert-Withers.jpg")</f>
        <v>http://examplebusiness.comwp-content/uploads/2016/02/Robert-Withers.jpg</v>
      </c>
      <c r="B573" s="34">
        <v>4</v>
      </c>
      <c r="C573" s="34">
        <v>0</v>
      </c>
      <c r="D573" s="34">
        <v>0</v>
      </c>
      <c r="E573" s="34">
        <v>0</v>
      </c>
      <c r="F573" s="34">
        <v>301</v>
      </c>
      <c r="G573" s="34">
        <v>0</v>
      </c>
      <c r="H573" s="34"/>
      <c r="I573" s="34" t="s">
        <v>1561</v>
      </c>
      <c r="J573" s="34" t="s">
        <v>1561</v>
      </c>
      <c r="K573" s="107" t="s">
        <v>1561</v>
      </c>
      <c r="L573" s="34" t="s">
        <v>1561</v>
      </c>
    </row>
    <row r="574" spans="1:12" ht="16.5" x14ac:dyDescent="0.35">
      <c r="A574" s="106" t="str">
        <f>HYPERLINK("http://examplebusiness.comwp-content/plugins/events-manager/includes/images/csv.png","http://examplebusiness.comwp-content/plugins/events-manager/includes/images/csv.png")</f>
        <v>http://examplebusiness.comwp-content/plugins/events-manager/includes/images/csv.png</v>
      </c>
      <c r="B574" s="34">
        <v>4</v>
      </c>
      <c r="C574" s="34">
        <v>0</v>
      </c>
      <c r="D574" s="34">
        <v>0</v>
      </c>
      <c r="E574" s="34">
        <v>0</v>
      </c>
      <c r="F574" s="34">
        <v>301</v>
      </c>
      <c r="G574" s="34">
        <v>0</v>
      </c>
      <c r="H574" s="34"/>
      <c r="I574" s="34" t="s">
        <v>1561</v>
      </c>
      <c r="J574" s="34" t="s">
        <v>1561</v>
      </c>
      <c r="K574" s="107" t="s">
        <v>1561</v>
      </c>
      <c r="L574" s="34" t="s">
        <v>1561</v>
      </c>
    </row>
    <row r="575" spans="1:12" ht="16.5" x14ac:dyDescent="0.35">
      <c r="A575" s="106" t="str">
        <f>HYPERLINK("http://examplebusiness.comwp-content/plugins/events-manager/includes/images/search-geo.png","http://examplebusiness.comwp-content/plugins/events-manager/includes/images/search-geo.png")</f>
        <v>http://examplebusiness.comwp-content/plugins/events-manager/includes/images/search-geo.png</v>
      </c>
      <c r="B575" s="34">
        <v>4</v>
      </c>
      <c r="C575" s="34">
        <v>0</v>
      </c>
      <c r="D575" s="34">
        <v>0</v>
      </c>
      <c r="E575" s="34">
        <v>0</v>
      </c>
      <c r="F575" s="34">
        <v>301</v>
      </c>
      <c r="G575" s="34">
        <v>0</v>
      </c>
      <c r="H575" s="34"/>
      <c r="I575" s="34" t="s">
        <v>1561</v>
      </c>
      <c r="J575" s="34" t="s">
        <v>1561</v>
      </c>
      <c r="K575" s="107" t="s">
        <v>1561</v>
      </c>
      <c r="L575" s="34" t="s">
        <v>1561</v>
      </c>
    </row>
    <row r="576" spans="1:12" ht="16.5" x14ac:dyDescent="0.35">
      <c r="A576" s="106" t="str">
        <f>HYPERLINK("http://examplebusiness.comwp-content/plugins/events-manager/includes/images/search-mag-ico.png","http://examplebusiness.comwp-content/plugins/events-manager/includes/images/search-mag-ico.png")</f>
        <v>http://examplebusiness.comwp-content/plugins/events-manager/includes/images/search-mag-ico.png</v>
      </c>
      <c r="B576" s="34">
        <v>4</v>
      </c>
      <c r="C576" s="34">
        <v>0</v>
      </c>
      <c r="D576" s="34">
        <v>0</v>
      </c>
      <c r="E576" s="34">
        <v>0</v>
      </c>
      <c r="F576" s="34">
        <v>301</v>
      </c>
      <c r="G576" s="34">
        <v>0</v>
      </c>
      <c r="H576" s="34"/>
      <c r="I576" s="34" t="s">
        <v>1561</v>
      </c>
      <c r="J576" s="34" t="s">
        <v>1561</v>
      </c>
      <c r="K576" s="107" t="s">
        <v>1561</v>
      </c>
      <c r="L576" s="34" t="s">
        <v>1561</v>
      </c>
    </row>
    <row r="577" spans="1:12" ht="16.5" x14ac:dyDescent="0.35">
      <c r="A577" s="106" t="str">
        <f>HYPERLINK("http://examplebusiness.comwp-content/plugins/events-manager/includes/images/search-mag.png","http://examplebusiness.comwp-content/plugins/events-manager/includes/images/search-mag.png")</f>
        <v>http://examplebusiness.comwp-content/plugins/events-manager/includes/images/search-mag.png</v>
      </c>
      <c r="B577" s="34">
        <v>4</v>
      </c>
      <c r="C577" s="34">
        <v>0</v>
      </c>
      <c r="D577" s="34">
        <v>0</v>
      </c>
      <c r="E577" s="34">
        <v>0</v>
      </c>
      <c r="F577" s="34">
        <v>301</v>
      </c>
      <c r="G577" s="34">
        <v>0</v>
      </c>
      <c r="H577" s="34"/>
      <c r="I577" s="34" t="s">
        <v>1561</v>
      </c>
      <c r="J577" s="34" t="s">
        <v>1561</v>
      </c>
      <c r="K577" s="107" t="s">
        <v>1561</v>
      </c>
      <c r="L577" s="34" t="s">
        <v>1561</v>
      </c>
    </row>
    <row r="578" spans="1:12" ht="16.5" x14ac:dyDescent="0.35">
      <c r="A578" s="106" t="str">
        <f>HYPERLINK("http://examplebusiness.comwp-content/plugins/events-manager/includes/images/settings.png","http://examplebusiness.comwp-content/plugins/events-manager/includes/images/settings.png")</f>
        <v>http://examplebusiness.comwp-content/plugins/events-manager/includes/images/settings.png</v>
      </c>
      <c r="B578" s="34">
        <v>4</v>
      </c>
      <c r="C578" s="34">
        <v>0</v>
      </c>
      <c r="D578" s="34">
        <v>0</v>
      </c>
      <c r="E578" s="34">
        <v>0</v>
      </c>
      <c r="F578" s="34">
        <v>301</v>
      </c>
      <c r="G578" s="34">
        <v>0</v>
      </c>
      <c r="H578" s="34"/>
      <c r="I578" s="34" t="s">
        <v>1561</v>
      </c>
      <c r="J578" s="34" t="s">
        <v>1561</v>
      </c>
      <c r="K578" s="107" t="s">
        <v>1561</v>
      </c>
      <c r="L578" s="34" t="s">
        <v>1561</v>
      </c>
    </row>
    <row r="579" spans="1:12" ht="16.5" x14ac:dyDescent="0.35">
      <c r="A579" s="106" t="str">
        <f>HYPERLINK("http://examplebusiness.comwp-content/themes/finesse/css/images/ui-bg_flat_0_aaaaaa_40x100.png","http://examplebusiness.comwp-content/themes/finesse/css/images/ui-bg_flat_0_aaaaaa_40x100.png")</f>
        <v>http://examplebusiness.comwp-content/themes/finesse/css/images/ui-bg_flat_0_aaaaaa_40x100.png</v>
      </c>
      <c r="B579" s="34">
        <v>4</v>
      </c>
      <c r="C579" s="34">
        <v>0</v>
      </c>
      <c r="D579" s="34">
        <v>0</v>
      </c>
      <c r="E579" s="34">
        <v>0</v>
      </c>
      <c r="F579" s="34">
        <v>301</v>
      </c>
      <c r="G579" s="34">
        <v>0</v>
      </c>
      <c r="H579" s="34"/>
      <c r="I579" s="34" t="s">
        <v>1561</v>
      </c>
      <c r="J579" s="34" t="s">
        <v>1561</v>
      </c>
      <c r="K579" s="107" t="s">
        <v>1561</v>
      </c>
      <c r="L579" s="34" t="s">
        <v>1561</v>
      </c>
    </row>
    <row r="580" spans="1:12" ht="16.5" x14ac:dyDescent="0.35">
      <c r="A580" s="106" t="str">
        <f>HYPERLINK("http://examplebusiness.comwp-content/themes/finesse/css/images/ui-bg_flat_75_ffffff_40x100.png","http://examplebusiness.comwp-content/themes/finesse/css/images/ui-bg_flat_75_ffffff_40x100.png")</f>
        <v>http://examplebusiness.comwp-content/themes/finesse/css/images/ui-bg_flat_75_ffffff_40x100.png</v>
      </c>
      <c r="B580" s="34">
        <v>4</v>
      </c>
      <c r="C580" s="34">
        <v>0</v>
      </c>
      <c r="D580" s="34">
        <v>0</v>
      </c>
      <c r="E580" s="34">
        <v>0</v>
      </c>
      <c r="F580" s="34">
        <v>301</v>
      </c>
      <c r="G580" s="34">
        <v>0</v>
      </c>
      <c r="H580" s="34"/>
      <c r="I580" s="34" t="s">
        <v>1561</v>
      </c>
      <c r="J580" s="34" t="s">
        <v>1561</v>
      </c>
      <c r="K580" s="107" t="s">
        <v>1561</v>
      </c>
      <c r="L580" s="34" t="s">
        <v>1561</v>
      </c>
    </row>
    <row r="581" spans="1:12" ht="16.5" x14ac:dyDescent="0.35">
      <c r="A581" s="106" t="str">
        <f>HYPERLINK("http://examplebusiness.comwp-content/themes/finesse/css/images/ui-bg_glass_55_fbf9ee_1x400.png","http://examplebusiness.comwp-content/themes/finesse/css/images/ui-bg_glass_55_fbf9ee_1x400.png")</f>
        <v>http://examplebusiness.comwp-content/themes/finesse/css/images/ui-bg_glass_55_fbf9ee_1x400.png</v>
      </c>
      <c r="B581" s="34">
        <v>4</v>
      </c>
      <c r="C581" s="34">
        <v>0</v>
      </c>
      <c r="D581" s="34">
        <v>0</v>
      </c>
      <c r="E581" s="34">
        <v>0</v>
      </c>
      <c r="F581" s="34">
        <v>301</v>
      </c>
      <c r="G581" s="34">
        <v>0</v>
      </c>
      <c r="H581" s="34"/>
      <c r="I581" s="34" t="s">
        <v>1561</v>
      </c>
      <c r="J581" s="34" t="s">
        <v>1561</v>
      </c>
      <c r="K581" s="107" t="s">
        <v>1561</v>
      </c>
      <c r="L581" s="34" t="s">
        <v>1561</v>
      </c>
    </row>
    <row r="582" spans="1:12" ht="16.5" x14ac:dyDescent="0.35">
      <c r="A582" s="106" t="str">
        <f>HYPERLINK("http://examplebusiness.comwp-content/themes/finesse/css/images/ui-bg_glass_65_ffffff_1x400.png","http://examplebusiness.comwp-content/themes/finesse/css/images/ui-bg_glass_65_ffffff_1x400.png")</f>
        <v>http://examplebusiness.comwp-content/themes/finesse/css/images/ui-bg_glass_65_ffffff_1x400.png</v>
      </c>
      <c r="B582" s="34">
        <v>4</v>
      </c>
      <c r="C582" s="34">
        <v>0</v>
      </c>
      <c r="D582" s="34">
        <v>0</v>
      </c>
      <c r="E582" s="34">
        <v>0</v>
      </c>
      <c r="F582" s="34">
        <v>301</v>
      </c>
      <c r="G582" s="34">
        <v>0</v>
      </c>
      <c r="H582" s="34"/>
      <c r="I582" s="34" t="s">
        <v>1561</v>
      </c>
      <c r="J582" s="34" t="s">
        <v>1561</v>
      </c>
      <c r="K582" s="107" t="s">
        <v>1561</v>
      </c>
      <c r="L582" s="34" t="s">
        <v>1561</v>
      </c>
    </row>
    <row r="583" spans="1:12" ht="16.5" x14ac:dyDescent="0.35">
      <c r="A583" s="106" t="str">
        <f>HYPERLINK("http://examplebusiness.comwp-content/themes/finesse/css/images/ui-bg_glass_75_dadada_1x400.png","http://examplebusiness.comwp-content/themes/finesse/css/images/ui-bg_glass_75_dadada_1x400.png")</f>
        <v>http://examplebusiness.comwp-content/themes/finesse/css/images/ui-bg_glass_75_dadada_1x400.png</v>
      </c>
      <c r="B583" s="34">
        <v>4</v>
      </c>
      <c r="C583" s="34">
        <v>0</v>
      </c>
      <c r="D583" s="34">
        <v>0</v>
      </c>
      <c r="E583" s="34">
        <v>0</v>
      </c>
      <c r="F583" s="34">
        <v>301</v>
      </c>
      <c r="G583" s="34">
        <v>0</v>
      </c>
      <c r="H583" s="34"/>
      <c r="I583" s="34" t="s">
        <v>1561</v>
      </c>
      <c r="J583" s="34" t="s">
        <v>1561</v>
      </c>
      <c r="K583" s="107" t="s">
        <v>1561</v>
      </c>
      <c r="L583" s="34" t="s">
        <v>1561</v>
      </c>
    </row>
    <row r="584" spans="1:12" ht="16.5" x14ac:dyDescent="0.35">
      <c r="A584" s="106" t="str">
        <f>HYPERLINK("http://examplebusiness.comwp-content/themes/finesse/css/images/ui-bg_glass_75_e6e6e6_1x400.png","http://examplebusiness.comwp-content/themes/finesse/css/images/ui-bg_glass_75_e6e6e6_1x400.png")</f>
        <v>http://examplebusiness.comwp-content/themes/finesse/css/images/ui-bg_glass_75_e6e6e6_1x400.png</v>
      </c>
      <c r="B584" s="34">
        <v>4</v>
      </c>
      <c r="C584" s="34">
        <v>0</v>
      </c>
      <c r="D584" s="34">
        <v>0</v>
      </c>
      <c r="E584" s="34">
        <v>0</v>
      </c>
      <c r="F584" s="34">
        <v>301</v>
      </c>
      <c r="G584" s="34">
        <v>0</v>
      </c>
      <c r="H584" s="34"/>
      <c r="I584" s="34" t="s">
        <v>1561</v>
      </c>
      <c r="J584" s="34" t="s">
        <v>1561</v>
      </c>
      <c r="K584" s="107" t="s">
        <v>1561</v>
      </c>
      <c r="L584" s="34" t="s">
        <v>1561</v>
      </c>
    </row>
    <row r="585" spans="1:12" ht="16.5" x14ac:dyDescent="0.35">
      <c r="A585" s="106" t="str">
        <f>HYPERLINK("http://examplebusiness.comwp-content/themes/finesse/css/images/ui-bg_glass_95_fef1ec_1x400.png","http://examplebusiness.comwp-content/themes/finesse/css/images/ui-bg_glass_95_fef1ec_1x400.png")</f>
        <v>http://examplebusiness.comwp-content/themes/finesse/css/images/ui-bg_glass_95_fef1ec_1x400.png</v>
      </c>
      <c r="B585" s="34">
        <v>4</v>
      </c>
      <c r="C585" s="34">
        <v>0</v>
      </c>
      <c r="D585" s="34">
        <v>0</v>
      </c>
      <c r="E585" s="34">
        <v>0</v>
      </c>
      <c r="F585" s="34">
        <v>301</v>
      </c>
      <c r="G585" s="34">
        <v>0</v>
      </c>
      <c r="H585" s="34"/>
      <c r="I585" s="34" t="s">
        <v>1561</v>
      </c>
      <c r="J585" s="34" t="s">
        <v>1561</v>
      </c>
      <c r="K585" s="107" t="s">
        <v>1561</v>
      </c>
      <c r="L585" s="34" t="s">
        <v>1561</v>
      </c>
    </row>
    <row r="586" spans="1:12" ht="16.5" x14ac:dyDescent="0.35">
      <c r="A586" s="106" t="str">
        <f>HYPERLINK("http://examplebusiness.comwp-content/themes/finesse/css/images/ui-bg_highlight-soft_75_cccccc_1x100.png","http://examplebusiness.comwp-content/themes/finesse/css/images/ui-bg_highlight-soft_75_cccccc_1x100.png")</f>
        <v>http://examplebusiness.comwp-content/themes/finesse/css/images/ui-bg_highlight-soft_75_cccccc_1x100.png</v>
      </c>
      <c r="B586" s="34">
        <v>4</v>
      </c>
      <c r="C586" s="34">
        <v>0</v>
      </c>
      <c r="D586" s="34">
        <v>0</v>
      </c>
      <c r="E586" s="34">
        <v>0</v>
      </c>
      <c r="F586" s="34">
        <v>301</v>
      </c>
      <c r="G586" s="34">
        <v>0</v>
      </c>
      <c r="H586" s="34"/>
      <c r="I586" s="34" t="s">
        <v>1561</v>
      </c>
      <c r="J586" s="34" t="s">
        <v>1561</v>
      </c>
      <c r="K586" s="107" t="s">
        <v>1561</v>
      </c>
      <c r="L586" s="34" t="s">
        <v>1561</v>
      </c>
    </row>
    <row r="587" spans="1:12" ht="16.5" x14ac:dyDescent="0.35">
      <c r="A587" s="106" t="str">
        <f>HYPERLINK("http://examplebusiness.comwp-content/themes/finesse/css/images/ui-icons_222222_256x240.png","http://examplebusiness.comwp-content/themes/finesse/css/images/ui-icons_222222_256x240.png")</f>
        <v>http://examplebusiness.comwp-content/themes/finesse/css/images/ui-icons_222222_256x240.png</v>
      </c>
      <c r="B587" s="34">
        <v>4</v>
      </c>
      <c r="C587" s="34">
        <v>0</v>
      </c>
      <c r="D587" s="34">
        <v>0</v>
      </c>
      <c r="E587" s="34">
        <v>0</v>
      </c>
      <c r="F587" s="34">
        <v>301</v>
      </c>
      <c r="G587" s="34">
        <v>0</v>
      </c>
      <c r="H587" s="34"/>
      <c r="I587" s="34" t="s">
        <v>1561</v>
      </c>
      <c r="J587" s="34" t="s">
        <v>1561</v>
      </c>
      <c r="K587" s="107" t="s">
        <v>1561</v>
      </c>
      <c r="L587" s="34" t="s">
        <v>1561</v>
      </c>
    </row>
    <row r="588" spans="1:12" ht="16.5" x14ac:dyDescent="0.35">
      <c r="A588" s="106" t="str">
        <f>HYPERLINK("http://examplebusiness.comwp-content/themes/finesse/css/images/ui-icons_2e83ff_256x240.png","http://examplebusiness.comwp-content/themes/finesse/css/images/ui-icons_2e83ff_256x240.png")</f>
        <v>http://examplebusiness.comwp-content/themes/finesse/css/images/ui-icons_2e83ff_256x240.png</v>
      </c>
      <c r="B588" s="34">
        <v>4</v>
      </c>
      <c r="C588" s="34">
        <v>0</v>
      </c>
      <c r="D588" s="34">
        <v>0</v>
      </c>
      <c r="E588" s="34">
        <v>0</v>
      </c>
      <c r="F588" s="34">
        <v>301</v>
      </c>
      <c r="G588" s="34">
        <v>0</v>
      </c>
      <c r="H588" s="34"/>
      <c r="I588" s="34" t="s">
        <v>1561</v>
      </c>
      <c r="J588" s="34" t="s">
        <v>1561</v>
      </c>
      <c r="K588" s="107" t="s">
        <v>1561</v>
      </c>
      <c r="L588" s="34" t="s">
        <v>1561</v>
      </c>
    </row>
    <row r="589" spans="1:12" ht="16.5" x14ac:dyDescent="0.35">
      <c r="A589" s="106" t="str">
        <f>HYPERLINK("http://examplebusiness.comwp-content/themes/finesse/css/images/ui-icons_454545_256x240.png","http://examplebusiness.comwp-content/themes/finesse/css/images/ui-icons_454545_256x240.png")</f>
        <v>http://examplebusiness.comwp-content/themes/finesse/css/images/ui-icons_454545_256x240.png</v>
      </c>
      <c r="B589" s="34">
        <v>4</v>
      </c>
      <c r="C589" s="34">
        <v>0</v>
      </c>
      <c r="D589" s="34">
        <v>0</v>
      </c>
      <c r="E589" s="34">
        <v>0</v>
      </c>
      <c r="F589" s="34">
        <v>301</v>
      </c>
      <c r="G589" s="34">
        <v>0</v>
      </c>
      <c r="H589" s="34"/>
      <c r="I589" s="34" t="s">
        <v>1561</v>
      </c>
      <c r="J589" s="34" t="s">
        <v>1561</v>
      </c>
      <c r="K589" s="107" t="s">
        <v>1561</v>
      </c>
      <c r="L589" s="34" t="s">
        <v>1561</v>
      </c>
    </row>
    <row r="590" spans="1:12" ht="16.5" x14ac:dyDescent="0.35">
      <c r="A590" s="106" t="str">
        <f>HYPERLINK("http://examplebusiness.comwp-content/themes/finesse/css/images/ui-icons_888888_256x240.png","http://examplebusiness.comwp-content/themes/finesse/css/images/ui-icons_888888_256x240.png")</f>
        <v>http://examplebusiness.comwp-content/themes/finesse/css/images/ui-icons_888888_256x240.png</v>
      </c>
      <c r="B590" s="34">
        <v>4</v>
      </c>
      <c r="C590" s="34">
        <v>0</v>
      </c>
      <c r="D590" s="34">
        <v>0</v>
      </c>
      <c r="E590" s="34">
        <v>0</v>
      </c>
      <c r="F590" s="34">
        <v>301</v>
      </c>
      <c r="G590" s="34">
        <v>0</v>
      </c>
      <c r="H590" s="34"/>
      <c r="I590" s="34" t="s">
        <v>1561</v>
      </c>
      <c r="J590" s="34" t="s">
        <v>1561</v>
      </c>
      <c r="K590" s="107" t="s">
        <v>1561</v>
      </c>
      <c r="L590" s="34" t="s">
        <v>1561</v>
      </c>
    </row>
    <row r="591" spans="1:12" ht="16.5" x14ac:dyDescent="0.35">
      <c r="A591" s="106" t="str">
        <f>HYPERLINK("http://examplebusiness.comwp-content/themes/finesse/css/images/ui-icons_cd0a0a_256x240.png","http://examplebusiness.comwp-content/themes/finesse/css/images/ui-icons_cd0a0a_256x240.png")</f>
        <v>http://examplebusiness.comwp-content/themes/finesse/css/images/ui-icons_cd0a0a_256x240.png</v>
      </c>
      <c r="B591" s="34">
        <v>4</v>
      </c>
      <c r="C591" s="34">
        <v>0</v>
      </c>
      <c r="D591" s="34">
        <v>0</v>
      </c>
      <c r="E591" s="34">
        <v>0</v>
      </c>
      <c r="F591" s="34">
        <v>301</v>
      </c>
      <c r="G591" s="34">
        <v>0</v>
      </c>
      <c r="H591" s="34"/>
      <c r="I591" s="34" t="s">
        <v>1561</v>
      </c>
      <c r="J591" s="34" t="s">
        <v>1561</v>
      </c>
      <c r="K591" s="107" t="s">
        <v>1561</v>
      </c>
      <c r="L591" s="34" t="s">
        <v>1561</v>
      </c>
    </row>
    <row r="592" spans="1:12" ht="16.5" x14ac:dyDescent="0.35">
      <c r="A592" s="106" t="str">
        <f>HYPERLINK("http://examplebusiness.comwp-content/themes/finesse/images/alert-56.png","http://examplebusiness.comwp-content/themes/finesse/images/alert-56.png")</f>
        <v>http://examplebusiness.comwp-content/themes/finesse/images/alert-56.png</v>
      </c>
      <c r="B592" s="34">
        <v>4</v>
      </c>
      <c r="C592" s="34">
        <v>0</v>
      </c>
      <c r="D592" s="34">
        <v>0</v>
      </c>
      <c r="E592" s="34">
        <v>0</v>
      </c>
      <c r="F592" s="34">
        <v>301</v>
      </c>
      <c r="G592" s="34">
        <v>0</v>
      </c>
      <c r="H592" s="34"/>
      <c r="I592" s="34" t="s">
        <v>1561</v>
      </c>
      <c r="J592" s="34" t="s">
        <v>1561</v>
      </c>
      <c r="K592" s="107" t="s">
        <v>1561</v>
      </c>
      <c r="L592" s="34" t="s">
        <v>1561</v>
      </c>
    </row>
    <row r="593" spans="1:12" ht="16.5" x14ac:dyDescent="0.35">
      <c r="A593" s="106" t="str">
        <f>HYPERLINK("http://examplebusiness.comwp-content/themes/finesse/images/blog/post-aside.png","http://examplebusiness.comwp-content/themes/finesse/images/blog/post-aside.png")</f>
        <v>http://examplebusiness.comwp-content/themes/finesse/images/blog/post-aside.png</v>
      </c>
      <c r="B593" s="34">
        <v>4</v>
      </c>
      <c r="C593" s="34">
        <v>0</v>
      </c>
      <c r="D593" s="34">
        <v>0</v>
      </c>
      <c r="E593" s="34">
        <v>0</v>
      </c>
      <c r="F593" s="34">
        <v>301</v>
      </c>
      <c r="G593" s="34">
        <v>0</v>
      </c>
      <c r="H593" s="34"/>
      <c r="I593" s="34" t="s">
        <v>1561</v>
      </c>
      <c r="J593" s="34" t="s">
        <v>1561</v>
      </c>
      <c r="K593" s="107" t="s">
        <v>1561</v>
      </c>
      <c r="L593" s="34" t="s">
        <v>1561</v>
      </c>
    </row>
    <row r="594" spans="1:12" ht="16.5" x14ac:dyDescent="0.35">
      <c r="A594" s="106" t="str">
        <f>HYPERLINK("http://examplebusiness.comwp-content/themes/finesse/images/blog/post-audio.png","http://examplebusiness.comwp-content/themes/finesse/images/blog/post-audio.png")</f>
        <v>http://examplebusiness.comwp-content/themes/finesse/images/blog/post-audio.png</v>
      </c>
      <c r="B594" s="34">
        <v>4</v>
      </c>
      <c r="C594" s="34">
        <v>0</v>
      </c>
      <c r="D594" s="34">
        <v>0</v>
      </c>
      <c r="E594" s="34">
        <v>0</v>
      </c>
      <c r="F594" s="34">
        <v>301</v>
      </c>
      <c r="G594" s="34">
        <v>0</v>
      </c>
      <c r="H594" s="34"/>
      <c r="I594" s="34" t="s">
        <v>1561</v>
      </c>
      <c r="J594" s="34" t="s">
        <v>1561</v>
      </c>
      <c r="K594" s="107" t="s">
        <v>1561</v>
      </c>
      <c r="L594" s="34" t="s">
        <v>1561</v>
      </c>
    </row>
    <row r="595" spans="1:12" ht="16.5" x14ac:dyDescent="0.35">
      <c r="A595" s="106" t="str">
        <f>HYPERLINK("http://examplebusiness.comwp-content/themes/finesse/images/blog/post-gallery.png","http://examplebusiness.comwp-content/themes/finesse/images/blog/post-gallery.png")</f>
        <v>http://examplebusiness.comwp-content/themes/finesse/images/blog/post-gallery.png</v>
      </c>
      <c r="B595" s="34">
        <v>4</v>
      </c>
      <c r="C595" s="34">
        <v>0</v>
      </c>
      <c r="D595" s="34">
        <v>0</v>
      </c>
      <c r="E595" s="34">
        <v>0</v>
      </c>
      <c r="F595" s="34">
        <v>301</v>
      </c>
      <c r="G595" s="34">
        <v>0</v>
      </c>
      <c r="H595" s="34"/>
      <c r="I595" s="34" t="s">
        <v>1561</v>
      </c>
      <c r="J595" s="34" t="s">
        <v>1561</v>
      </c>
      <c r="K595" s="107" t="s">
        <v>1561</v>
      </c>
      <c r="L595" s="34" t="s">
        <v>1561</v>
      </c>
    </row>
    <row r="596" spans="1:12" ht="16.5" x14ac:dyDescent="0.35">
      <c r="A596" s="106" t="str">
        <f>HYPERLINK("http://examplebusiness.comwp-content/themes/finesse/images/blog/post-image.png","http://examplebusiness.comwp-content/themes/finesse/images/blog/post-image.png")</f>
        <v>http://examplebusiness.comwp-content/themes/finesse/images/blog/post-image.png</v>
      </c>
      <c r="B596" s="34">
        <v>4</v>
      </c>
      <c r="C596" s="34">
        <v>0</v>
      </c>
      <c r="D596" s="34">
        <v>0</v>
      </c>
      <c r="E596" s="34">
        <v>0</v>
      </c>
      <c r="F596" s="34">
        <v>301</v>
      </c>
      <c r="G596" s="34">
        <v>0</v>
      </c>
      <c r="H596" s="34"/>
      <c r="I596" s="34" t="s">
        <v>1561</v>
      </c>
      <c r="J596" s="34" t="s">
        <v>1561</v>
      </c>
      <c r="K596" s="107" t="s">
        <v>1561</v>
      </c>
      <c r="L596" s="34" t="s">
        <v>1561</v>
      </c>
    </row>
    <row r="597" spans="1:12" ht="16.5" x14ac:dyDescent="0.35">
      <c r="A597" s="106" t="str">
        <f>HYPERLINK("http://examplebusiness.comwp-content/themes/finesse/images/blog/post-link.png","http://examplebusiness.comwp-content/themes/finesse/images/blog/post-link.png")</f>
        <v>http://examplebusiness.comwp-content/themes/finesse/images/blog/post-link.png</v>
      </c>
      <c r="B597" s="34">
        <v>4</v>
      </c>
      <c r="C597" s="34">
        <v>0</v>
      </c>
      <c r="D597" s="34">
        <v>0</v>
      </c>
      <c r="E597" s="34">
        <v>0</v>
      </c>
      <c r="F597" s="34">
        <v>301</v>
      </c>
      <c r="G597" s="34">
        <v>0</v>
      </c>
      <c r="H597" s="34"/>
      <c r="I597" s="34" t="s">
        <v>1561</v>
      </c>
      <c r="J597" s="34" t="s">
        <v>1561</v>
      </c>
      <c r="K597" s="107" t="s">
        <v>1561</v>
      </c>
      <c r="L597" s="34" t="s">
        <v>1561</v>
      </c>
    </row>
    <row r="598" spans="1:12" ht="16.5" x14ac:dyDescent="0.35">
      <c r="A598" s="106" t="str">
        <f>HYPERLINK("http://examplebusiness.comwp-content/themes/finesse/images/blog/post-quote.png","http://examplebusiness.comwp-content/themes/finesse/images/blog/post-quote.png")</f>
        <v>http://examplebusiness.comwp-content/themes/finesse/images/blog/post-quote.png</v>
      </c>
      <c r="B598" s="34">
        <v>4</v>
      </c>
      <c r="C598" s="34">
        <v>0</v>
      </c>
      <c r="D598" s="34">
        <v>0</v>
      </c>
      <c r="E598" s="34">
        <v>0</v>
      </c>
      <c r="F598" s="34">
        <v>301</v>
      </c>
      <c r="G598" s="34">
        <v>0</v>
      </c>
      <c r="H598" s="34"/>
      <c r="I598" s="34" t="s">
        <v>1561</v>
      </c>
      <c r="J598" s="34" t="s">
        <v>1561</v>
      </c>
      <c r="K598" s="107" t="s">
        <v>1561</v>
      </c>
      <c r="L598" s="34" t="s">
        <v>1561</v>
      </c>
    </row>
    <row r="599" spans="1:12" ht="16.5" x14ac:dyDescent="0.35">
      <c r="A599" s="106" t="str">
        <f>HYPERLINK("http://examplebusiness.comwp-content/themes/finesse/images/blog/post-standard.png","http://examplebusiness.comwp-content/themes/finesse/images/blog/post-standard.png")</f>
        <v>http://examplebusiness.comwp-content/themes/finesse/images/blog/post-standard.png</v>
      </c>
      <c r="B599" s="34">
        <v>4</v>
      </c>
      <c r="C599" s="34">
        <v>0</v>
      </c>
      <c r="D599" s="34">
        <v>0</v>
      </c>
      <c r="E599" s="34">
        <v>0</v>
      </c>
      <c r="F599" s="34">
        <v>301</v>
      </c>
      <c r="G599" s="34">
        <v>0</v>
      </c>
      <c r="H599" s="34"/>
      <c r="I599" s="34" t="s">
        <v>1561</v>
      </c>
      <c r="J599" s="34" t="s">
        <v>1561</v>
      </c>
      <c r="K599" s="107" t="s">
        <v>1561</v>
      </c>
      <c r="L599" s="34" t="s">
        <v>1561</v>
      </c>
    </row>
    <row r="600" spans="1:12" ht="16.5" x14ac:dyDescent="0.35">
      <c r="A600" s="106" t="str">
        <f>HYPERLINK("http://examplebusiness.comwp-content/themes/finesse/images/blog/post-video.png","http://examplebusiness.comwp-content/themes/finesse/images/blog/post-video.png")</f>
        <v>http://examplebusiness.comwp-content/themes/finesse/images/blog/post-video.png</v>
      </c>
      <c r="B600" s="34">
        <v>4</v>
      </c>
      <c r="C600" s="34">
        <v>0</v>
      </c>
      <c r="D600" s="34">
        <v>0</v>
      </c>
      <c r="E600" s="34">
        <v>0</v>
      </c>
      <c r="F600" s="34">
        <v>301</v>
      </c>
      <c r="G600" s="34">
        <v>0</v>
      </c>
      <c r="H600" s="34"/>
      <c r="I600" s="34" t="s">
        <v>1561</v>
      </c>
      <c r="J600" s="34" t="s">
        <v>1561</v>
      </c>
      <c r="K600" s="107" t="s">
        <v>1561</v>
      </c>
      <c r="L600" s="34" t="s">
        <v>1561</v>
      </c>
    </row>
    <row r="601" spans="1:12" ht="16.5" x14ac:dyDescent="0.35">
      <c r="A601" s="106" t="str">
        <f>HYPERLINK("http://examplebusiness.comwp-content/themes/finesse/images/bullets-and-arrows/arrow-right.png","http://examplebusiness.comwp-content/themes/finesse/images/bullets-and-arrows/arrow-right.png")</f>
        <v>http://examplebusiness.comwp-content/themes/finesse/images/bullets-and-arrows/arrow-right.png</v>
      </c>
      <c r="B601" s="34">
        <v>4</v>
      </c>
      <c r="C601" s="34">
        <v>0</v>
      </c>
      <c r="D601" s="34">
        <v>0</v>
      </c>
      <c r="E601" s="34">
        <v>0</v>
      </c>
      <c r="F601" s="34">
        <v>301</v>
      </c>
      <c r="G601" s="34">
        <v>0</v>
      </c>
      <c r="H601" s="34"/>
      <c r="I601" s="34" t="s">
        <v>1561</v>
      </c>
      <c r="J601" s="34" t="s">
        <v>1561</v>
      </c>
      <c r="K601" s="107" t="s">
        <v>1561</v>
      </c>
      <c r="L601" s="34" t="s">
        <v>1561</v>
      </c>
    </row>
    <row r="602" spans="1:12" ht="16.5" x14ac:dyDescent="0.35">
      <c r="A602" s="106" t="str">
        <f>HYPERLINK("http://examplebusiness.comwp-content/themes/finesse/images/carousel-arrows.png","http://examplebusiness.comwp-content/themes/finesse/images/carousel-arrows.png")</f>
        <v>http://examplebusiness.comwp-content/themes/finesse/images/carousel-arrows.png</v>
      </c>
      <c r="B602" s="34">
        <v>4</v>
      </c>
      <c r="C602" s="34">
        <v>0</v>
      </c>
      <c r="D602" s="34">
        <v>0</v>
      </c>
      <c r="E602" s="34">
        <v>0</v>
      </c>
      <c r="F602" s="34">
        <v>301</v>
      </c>
      <c r="G602" s="34">
        <v>0</v>
      </c>
      <c r="H602" s="34"/>
      <c r="I602" s="34" t="s">
        <v>1561</v>
      </c>
      <c r="J602" s="34" t="s">
        <v>1561</v>
      </c>
      <c r="K602" s="107" t="s">
        <v>1561</v>
      </c>
      <c r="L602" s="34" t="s">
        <v>1561</v>
      </c>
    </row>
    <row r="603" spans="1:12" ht="16.5" x14ac:dyDescent="0.35">
      <c r="A603" s="106" t="str">
        <f>HYPERLINK("http://examplebusiness.comwp-content/themes/finesse/images/check-green.png","http://examplebusiness.comwp-content/themes/finesse/images/check-green.png")</f>
        <v>http://examplebusiness.comwp-content/themes/finesse/images/check-green.png</v>
      </c>
      <c r="B603" s="34">
        <v>4</v>
      </c>
      <c r="C603" s="34">
        <v>0</v>
      </c>
      <c r="D603" s="34">
        <v>0</v>
      </c>
      <c r="E603" s="34">
        <v>0</v>
      </c>
      <c r="F603" s="34">
        <v>301</v>
      </c>
      <c r="G603" s="34">
        <v>0</v>
      </c>
      <c r="H603" s="34"/>
      <c r="I603" s="34" t="s">
        <v>1561</v>
      </c>
      <c r="J603" s="34" t="s">
        <v>1561</v>
      </c>
      <c r="K603" s="107" t="s">
        <v>1561</v>
      </c>
      <c r="L603" s="34" t="s">
        <v>1561</v>
      </c>
    </row>
    <row r="604" spans="1:12" ht="16.5" x14ac:dyDescent="0.35">
      <c r="A604" s="106" t="str">
        <f>HYPERLINK("http://examplebusiness.comwp-content/themes/finesse/images/contact/clock.png","http://examplebusiness.comwp-content/themes/finesse/images/contact/clock.png")</f>
        <v>http://examplebusiness.comwp-content/themes/finesse/images/contact/clock.png</v>
      </c>
      <c r="B604" s="34">
        <v>4</v>
      </c>
      <c r="C604" s="34">
        <v>0</v>
      </c>
      <c r="D604" s="34">
        <v>0</v>
      </c>
      <c r="E604" s="34">
        <v>0</v>
      </c>
      <c r="F604" s="34">
        <v>301</v>
      </c>
      <c r="G604" s="34">
        <v>0</v>
      </c>
      <c r="H604" s="34"/>
      <c r="I604" s="34" t="s">
        <v>1561</v>
      </c>
      <c r="J604" s="34" t="s">
        <v>1561</v>
      </c>
      <c r="K604" s="107" t="s">
        <v>1561</v>
      </c>
      <c r="L604" s="34" t="s">
        <v>1561</v>
      </c>
    </row>
    <row r="605" spans="1:12" ht="16.5" x14ac:dyDescent="0.35">
      <c r="A605" s="106" t="str">
        <f>HYPERLINK("http://examplebusiness.comwp-content/themes/finesse/images/contact/fax.png","http://examplebusiness.comwp-content/themes/finesse/images/contact/fax.png")</f>
        <v>http://examplebusiness.comwp-content/themes/finesse/images/contact/fax.png</v>
      </c>
      <c r="B605" s="34">
        <v>4</v>
      </c>
      <c r="C605" s="34">
        <v>0</v>
      </c>
      <c r="D605" s="34">
        <v>0</v>
      </c>
      <c r="E605" s="34">
        <v>0</v>
      </c>
      <c r="F605" s="34">
        <v>301</v>
      </c>
      <c r="G605" s="34">
        <v>0</v>
      </c>
      <c r="H605" s="34"/>
      <c r="I605" s="34" t="s">
        <v>1561</v>
      </c>
      <c r="J605" s="34" t="s">
        <v>1561</v>
      </c>
      <c r="K605" s="107" t="s">
        <v>1561</v>
      </c>
      <c r="L605" s="34" t="s">
        <v>1561</v>
      </c>
    </row>
    <row r="606" spans="1:12" ht="16.5" x14ac:dyDescent="0.35">
      <c r="A606" s="106" t="str">
        <f>HYPERLINK("http://examplebusiness.comwp-content/themes/finesse/images/contact/home.png","http://examplebusiness.comwp-content/themes/finesse/images/contact/home.png")</f>
        <v>http://examplebusiness.comwp-content/themes/finesse/images/contact/home.png</v>
      </c>
      <c r="B606" s="34">
        <v>4</v>
      </c>
      <c r="C606" s="34">
        <v>0</v>
      </c>
      <c r="D606" s="34">
        <v>0</v>
      </c>
      <c r="E606" s="34">
        <v>0</v>
      </c>
      <c r="F606" s="34">
        <v>301</v>
      </c>
      <c r="G606" s="34">
        <v>0</v>
      </c>
      <c r="H606" s="34"/>
      <c r="I606" s="34" t="s">
        <v>1561</v>
      </c>
      <c r="J606" s="34" t="s">
        <v>1561</v>
      </c>
      <c r="K606" s="107" t="s">
        <v>1561</v>
      </c>
      <c r="L606" s="34" t="s">
        <v>1561</v>
      </c>
    </row>
    <row r="607" spans="1:12" ht="16.5" x14ac:dyDescent="0.35">
      <c r="A607" s="106" t="str">
        <f>HYPERLINK("http://examplebusiness.comwp-content/themes/finesse/images/contact/mail.png","http://examplebusiness.comwp-content/themes/finesse/images/contact/mail.png")</f>
        <v>http://examplebusiness.comwp-content/themes/finesse/images/contact/mail.png</v>
      </c>
      <c r="B607" s="34">
        <v>4</v>
      </c>
      <c r="C607" s="34">
        <v>0</v>
      </c>
      <c r="D607" s="34">
        <v>0</v>
      </c>
      <c r="E607" s="34">
        <v>0</v>
      </c>
      <c r="F607" s="34">
        <v>301</v>
      </c>
      <c r="G607" s="34">
        <v>0</v>
      </c>
      <c r="H607" s="34"/>
      <c r="I607" s="34" t="s">
        <v>1561</v>
      </c>
      <c r="J607" s="34" t="s">
        <v>1561</v>
      </c>
      <c r="K607" s="107" t="s">
        <v>1561</v>
      </c>
      <c r="L607" s="34" t="s">
        <v>1561</v>
      </c>
    </row>
    <row r="608" spans="1:12" ht="16.5" x14ac:dyDescent="0.35">
      <c r="A608" s="106" t="str">
        <f>HYPERLINK("http://examplebusiness.comwp-content/themes/finesse/images/contact/phone.png","http://examplebusiness.comwp-content/themes/finesse/images/contact/phone.png")</f>
        <v>http://examplebusiness.comwp-content/themes/finesse/images/contact/phone.png</v>
      </c>
      <c r="B608" s="34">
        <v>4</v>
      </c>
      <c r="C608" s="34">
        <v>0</v>
      </c>
      <c r="D608" s="34">
        <v>0</v>
      </c>
      <c r="E608" s="34">
        <v>0</v>
      </c>
      <c r="F608" s="34">
        <v>301</v>
      </c>
      <c r="G608" s="34">
        <v>0</v>
      </c>
      <c r="H608" s="34"/>
      <c r="I608" s="34" t="s">
        <v>1561</v>
      </c>
      <c r="J608" s="34" t="s">
        <v>1561</v>
      </c>
      <c r="K608" s="107" t="s">
        <v>1561</v>
      </c>
      <c r="L608" s="34" t="s">
        <v>1561</v>
      </c>
    </row>
    <row r="609" spans="1:12" ht="16.5" x14ac:dyDescent="0.35">
      <c r="A609" s="106" t="str">
        <f>HYPERLINK("http://examplebusiness.comwp-content/themes/finesse/images/footer/contact/fax-footer.png","http://examplebusiness.comwp-content/themes/finesse/images/footer/contact/fax-footer.png")</f>
        <v>http://examplebusiness.comwp-content/themes/finesse/images/footer/contact/fax-footer.png</v>
      </c>
      <c r="B609" s="34">
        <v>4</v>
      </c>
      <c r="C609" s="34">
        <v>0</v>
      </c>
      <c r="D609" s="34">
        <v>0</v>
      </c>
      <c r="E609" s="34">
        <v>0</v>
      </c>
      <c r="F609" s="34">
        <v>301</v>
      </c>
      <c r="G609" s="34">
        <v>0</v>
      </c>
      <c r="H609" s="34"/>
      <c r="I609" s="34" t="s">
        <v>1561</v>
      </c>
      <c r="J609" s="34" t="s">
        <v>1561</v>
      </c>
      <c r="K609" s="107" t="s">
        <v>1561</v>
      </c>
      <c r="L609" s="34" t="s">
        <v>1561</v>
      </c>
    </row>
    <row r="610" spans="1:12" ht="16.5" x14ac:dyDescent="0.35">
      <c r="A610" s="106" t="str">
        <f>HYPERLINK("http://examplebusiness.comwp-content/themes/finesse/images/footer/contact/home-footer.png","http://examplebusiness.comwp-content/themes/finesse/images/footer/contact/home-footer.png")</f>
        <v>http://examplebusiness.comwp-content/themes/finesse/images/footer/contact/home-footer.png</v>
      </c>
      <c r="B610" s="34">
        <v>4</v>
      </c>
      <c r="C610" s="34">
        <v>0</v>
      </c>
      <c r="D610" s="34">
        <v>0</v>
      </c>
      <c r="E610" s="34">
        <v>0</v>
      </c>
      <c r="F610" s="34">
        <v>301</v>
      </c>
      <c r="G610" s="34">
        <v>0</v>
      </c>
      <c r="H610" s="34"/>
      <c r="I610" s="34" t="s">
        <v>1561</v>
      </c>
      <c r="J610" s="34" t="s">
        <v>1561</v>
      </c>
      <c r="K610" s="107" t="s">
        <v>1561</v>
      </c>
      <c r="L610" s="34" t="s">
        <v>1561</v>
      </c>
    </row>
    <row r="611" spans="1:12" ht="16.5" x14ac:dyDescent="0.35">
      <c r="A611" s="106" t="str">
        <f>HYPERLINK("http://examplebusiness.comwp-content/themes/finesse/images/footer/contact/mail-footer.png","http://examplebusiness.comwp-content/themes/finesse/images/footer/contact/mail-footer.png")</f>
        <v>http://examplebusiness.comwp-content/themes/finesse/images/footer/contact/mail-footer.png</v>
      </c>
      <c r="B611" s="34">
        <v>4</v>
      </c>
      <c r="C611" s="34">
        <v>0</v>
      </c>
      <c r="D611" s="34">
        <v>0</v>
      </c>
      <c r="E611" s="34">
        <v>0</v>
      </c>
      <c r="F611" s="34">
        <v>301</v>
      </c>
      <c r="G611" s="34">
        <v>0</v>
      </c>
      <c r="H611" s="34"/>
      <c r="I611" s="34" t="s">
        <v>1561</v>
      </c>
      <c r="J611" s="34" t="s">
        <v>1561</v>
      </c>
      <c r="K611" s="107" t="s">
        <v>1561</v>
      </c>
      <c r="L611" s="34" t="s">
        <v>1561</v>
      </c>
    </row>
    <row r="612" spans="1:12" ht="16.5" x14ac:dyDescent="0.35">
      <c r="A612" s="106" t="str">
        <f>HYPERLINK("http://examplebusiness.comwp-content/themes/finesse/images/footer/contact/phone-footer.png","http://examplebusiness.comwp-content/themes/finesse/images/footer/contact/phone-footer.png")</f>
        <v>http://examplebusiness.comwp-content/themes/finesse/images/footer/contact/phone-footer.png</v>
      </c>
      <c r="B612" s="34">
        <v>4</v>
      </c>
      <c r="C612" s="34">
        <v>0</v>
      </c>
      <c r="D612" s="34">
        <v>0</v>
      </c>
      <c r="E612" s="34">
        <v>0</v>
      </c>
      <c r="F612" s="34">
        <v>301</v>
      </c>
      <c r="G612" s="34">
        <v>0</v>
      </c>
      <c r="H612" s="34"/>
      <c r="I612" s="34" t="s">
        <v>1561</v>
      </c>
      <c r="J612" s="34" t="s">
        <v>1561</v>
      </c>
      <c r="K612" s="107" t="s">
        <v>1561</v>
      </c>
      <c r="L612" s="34" t="s">
        <v>1561</v>
      </c>
    </row>
    <row r="613" spans="1:12" ht="16.5" x14ac:dyDescent="0.35">
      <c r="A613" s="106" t="str">
        <f>HYPERLINK("http://examplebusiness.comwp-content/themes/finesse/images/footer/pencil-footer.png","http://examplebusiness.comwp-content/themes/finesse/images/footer/pencil-footer.png")</f>
        <v>http://examplebusiness.comwp-content/themes/finesse/images/footer/pencil-footer.png</v>
      </c>
      <c r="B613" s="34">
        <v>4</v>
      </c>
      <c r="C613" s="34">
        <v>0</v>
      </c>
      <c r="D613" s="34">
        <v>0</v>
      </c>
      <c r="E613" s="34">
        <v>0</v>
      </c>
      <c r="F613" s="34">
        <v>301</v>
      </c>
      <c r="G613" s="34">
        <v>0</v>
      </c>
      <c r="H613" s="34"/>
      <c r="I613" s="34" t="s">
        <v>1561</v>
      </c>
      <c r="J613" s="34" t="s">
        <v>1561</v>
      </c>
      <c r="K613" s="107" t="s">
        <v>1561</v>
      </c>
      <c r="L613" s="34" t="s">
        <v>1561</v>
      </c>
    </row>
    <row r="614" spans="1:12" ht="16.5" x14ac:dyDescent="0.35">
      <c r="A614" s="106" t="str">
        <f>HYPERLINK("http://examplebusiness.comwp-content/themes/finesse/images/footer/twitter-bullet-footer.png","http://examplebusiness.comwp-content/themes/finesse/images/footer/twitter-bullet-footer.png")</f>
        <v>http://examplebusiness.comwp-content/themes/finesse/images/footer/twitter-bullet-footer.png</v>
      </c>
      <c r="B614" s="34">
        <v>4</v>
      </c>
      <c r="C614" s="34">
        <v>0</v>
      </c>
      <c r="D614" s="34">
        <v>0</v>
      </c>
      <c r="E614" s="34">
        <v>0</v>
      </c>
      <c r="F614" s="34">
        <v>301</v>
      </c>
      <c r="G614" s="34">
        <v>0</v>
      </c>
      <c r="H614" s="34"/>
      <c r="I614" s="34" t="s">
        <v>1561</v>
      </c>
      <c r="J614" s="34" t="s">
        <v>1561</v>
      </c>
      <c r="K614" s="107" t="s">
        <v>1561</v>
      </c>
      <c r="L614" s="34" t="s">
        <v>1561</v>
      </c>
    </row>
    <row r="615" spans="1:12" ht="16.5" x14ac:dyDescent="0.35">
      <c r="A615" s="106" t="str">
        <f>HYPERLINK("http://examplebusiness.comwp-content/themes/finesse/images/icon-boxes/address-book.png","http://examplebusiness.comwp-content/themes/finesse/images/icon-boxes/address-book.png")</f>
        <v>http://examplebusiness.comwp-content/themes/finesse/images/icon-boxes/address-book.png</v>
      </c>
      <c r="B615" s="34">
        <v>4</v>
      </c>
      <c r="C615" s="34">
        <v>0</v>
      </c>
      <c r="D615" s="34">
        <v>0</v>
      </c>
      <c r="E615" s="34">
        <v>0</v>
      </c>
      <c r="F615" s="34">
        <v>301</v>
      </c>
      <c r="G615" s="34">
        <v>0</v>
      </c>
      <c r="H615" s="34"/>
      <c r="I615" s="34" t="s">
        <v>1561</v>
      </c>
      <c r="J615" s="34" t="s">
        <v>1561</v>
      </c>
      <c r="K615" s="107" t="s">
        <v>1561</v>
      </c>
      <c r="L615" s="34" t="s">
        <v>1561</v>
      </c>
    </row>
    <row r="616" spans="1:12" ht="16.5" x14ac:dyDescent="0.35">
      <c r="A616" s="106" t="str">
        <f>HYPERLINK("http://examplebusiness.comwp-content/themes/finesse/images/icon-boxes/applications.png","http://examplebusiness.comwp-content/themes/finesse/images/icon-boxes/applications.png")</f>
        <v>http://examplebusiness.comwp-content/themes/finesse/images/icon-boxes/applications.png</v>
      </c>
      <c r="B616" s="34">
        <v>4</v>
      </c>
      <c r="C616" s="34">
        <v>0</v>
      </c>
      <c r="D616" s="34">
        <v>0</v>
      </c>
      <c r="E616" s="34">
        <v>0</v>
      </c>
      <c r="F616" s="34">
        <v>301</v>
      </c>
      <c r="G616" s="34">
        <v>0</v>
      </c>
      <c r="H616" s="34"/>
      <c r="I616" s="34" t="s">
        <v>1561</v>
      </c>
      <c r="J616" s="34" t="s">
        <v>1561</v>
      </c>
      <c r="K616" s="107" t="s">
        <v>1561</v>
      </c>
      <c r="L616" s="34" t="s">
        <v>1561</v>
      </c>
    </row>
    <row r="617" spans="1:12" ht="16.5" x14ac:dyDescent="0.35">
      <c r="A617" s="106" t="str">
        <f>HYPERLINK("http://examplebusiness.comwp-content/themes/finesse/images/icon-boxes/chemical.png","http://examplebusiness.comwp-content/themes/finesse/images/icon-boxes/chemical.png")</f>
        <v>http://examplebusiness.comwp-content/themes/finesse/images/icon-boxes/chemical.png</v>
      </c>
      <c r="B617" s="34">
        <v>4</v>
      </c>
      <c r="C617" s="34">
        <v>0</v>
      </c>
      <c r="D617" s="34">
        <v>0</v>
      </c>
      <c r="E617" s="34">
        <v>0</v>
      </c>
      <c r="F617" s="34">
        <v>301</v>
      </c>
      <c r="G617" s="34">
        <v>0</v>
      </c>
      <c r="H617" s="34"/>
      <c r="I617" s="34" t="s">
        <v>1561</v>
      </c>
      <c r="J617" s="34" t="s">
        <v>1561</v>
      </c>
      <c r="K617" s="107" t="s">
        <v>1561</v>
      </c>
      <c r="L617" s="34" t="s">
        <v>1561</v>
      </c>
    </row>
    <row r="618" spans="1:12" ht="16.5" x14ac:dyDescent="0.35">
      <c r="A618" s="106" t="str">
        <f>HYPERLINK("http://examplebusiness.comwp-content/themes/finesse/images/icon-boxes/cog.png","http://examplebusiness.comwp-content/themes/finesse/images/icon-boxes/cog.png")</f>
        <v>http://examplebusiness.comwp-content/themes/finesse/images/icon-boxes/cog.png</v>
      </c>
      <c r="B618" s="34">
        <v>4</v>
      </c>
      <c r="C618" s="34">
        <v>0</v>
      </c>
      <c r="D618" s="34">
        <v>0</v>
      </c>
      <c r="E618" s="34">
        <v>0</v>
      </c>
      <c r="F618" s="34">
        <v>301</v>
      </c>
      <c r="G618" s="34">
        <v>0</v>
      </c>
      <c r="H618" s="34"/>
      <c r="I618" s="34" t="s">
        <v>1561</v>
      </c>
      <c r="J618" s="34" t="s">
        <v>1561</v>
      </c>
      <c r="K618" s="107" t="s">
        <v>1561</v>
      </c>
      <c r="L618" s="34" t="s">
        <v>1561</v>
      </c>
    </row>
    <row r="619" spans="1:12" ht="16.5" x14ac:dyDescent="0.35">
      <c r="A619" s="106" t="str">
        <f>HYPERLINK("http://examplebusiness.comwp-content/themes/finesse/images/icon-boxes/computer.png","http://examplebusiness.comwp-content/themes/finesse/images/icon-boxes/computer.png")</f>
        <v>http://examplebusiness.comwp-content/themes/finesse/images/icon-boxes/computer.png</v>
      </c>
      <c r="B619" s="34">
        <v>4</v>
      </c>
      <c r="C619" s="34">
        <v>0</v>
      </c>
      <c r="D619" s="34">
        <v>0</v>
      </c>
      <c r="E619" s="34">
        <v>0</v>
      </c>
      <c r="F619" s="34">
        <v>301</v>
      </c>
      <c r="G619" s="34">
        <v>0</v>
      </c>
      <c r="H619" s="34"/>
      <c r="I619" s="34" t="s">
        <v>1561</v>
      </c>
      <c r="J619" s="34" t="s">
        <v>1561</v>
      </c>
      <c r="K619" s="107" t="s">
        <v>1561</v>
      </c>
      <c r="L619" s="34" t="s">
        <v>1561</v>
      </c>
    </row>
    <row r="620" spans="1:12" ht="16.5" x14ac:dyDescent="0.35">
      <c r="A620" s="106" t="str">
        <f>HYPERLINK("http://examplebusiness.comwp-content/themes/finesse/images/icon-boxes/globe.png","http://examplebusiness.comwp-content/themes/finesse/images/icon-boxes/globe.png")</f>
        <v>http://examplebusiness.comwp-content/themes/finesse/images/icon-boxes/globe.png</v>
      </c>
      <c r="B620" s="34">
        <v>4</v>
      </c>
      <c r="C620" s="34">
        <v>0</v>
      </c>
      <c r="D620" s="34">
        <v>0</v>
      </c>
      <c r="E620" s="34">
        <v>0</v>
      </c>
      <c r="F620" s="34">
        <v>301</v>
      </c>
      <c r="G620" s="34">
        <v>0</v>
      </c>
      <c r="H620" s="34"/>
      <c r="I620" s="34" t="s">
        <v>1561</v>
      </c>
      <c r="J620" s="34" t="s">
        <v>1561</v>
      </c>
      <c r="K620" s="107" t="s">
        <v>1561</v>
      </c>
      <c r="L620" s="34" t="s">
        <v>1561</v>
      </c>
    </row>
    <row r="621" spans="1:12" ht="16.5" x14ac:dyDescent="0.35">
      <c r="A621" s="106" t="str">
        <f>HYPERLINK("http://examplebusiness.comwp-content/themes/finesse/images/icon-boxes/mouse.png","http://examplebusiness.comwp-content/themes/finesse/images/icon-boxes/mouse.png")</f>
        <v>http://examplebusiness.comwp-content/themes/finesse/images/icon-boxes/mouse.png</v>
      </c>
      <c r="B621" s="34">
        <v>4</v>
      </c>
      <c r="C621" s="34">
        <v>0</v>
      </c>
      <c r="D621" s="34">
        <v>0</v>
      </c>
      <c r="E621" s="34">
        <v>0</v>
      </c>
      <c r="F621" s="34">
        <v>301</v>
      </c>
      <c r="G621" s="34">
        <v>0</v>
      </c>
      <c r="H621" s="34"/>
      <c r="I621" s="34" t="s">
        <v>1561</v>
      </c>
      <c r="J621" s="34" t="s">
        <v>1561</v>
      </c>
      <c r="K621" s="107" t="s">
        <v>1561</v>
      </c>
      <c r="L621" s="34" t="s">
        <v>1561</v>
      </c>
    </row>
    <row r="622" spans="1:12" ht="16.5" x14ac:dyDescent="0.35">
      <c r="A622" s="106" t="str">
        <f>HYPERLINK("http://examplebusiness.comwp-content/themes/finesse/images/icon-boxes/write.png","http://examplebusiness.comwp-content/themes/finesse/images/icon-boxes/write.png")</f>
        <v>http://examplebusiness.comwp-content/themes/finesse/images/icon-boxes/write.png</v>
      </c>
      <c r="B622" s="34">
        <v>4</v>
      </c>
      <c r="C622" s="34">
        <v>0</v>
      </c>
      <c r="D622" s="34">
        <v>0</v>
      </c>
      <c r="E622" s="34">
        <v>0</v>
      </c>
      <c r="F622" s="34">
        <v>301</v>
      </c>
      <c r="G622" s="34">
        <v>0</v>
      </c>
      <c r="H622" s="34"/>
      <c r="I622" s="34" t="s">
        <v>1561</v>
      </c>
      <c r="J622" s="34" t="s">
        <v>1561</v>
      </c>
      <c r="K622" s="107" t="s">
        <v>1561</v>
      </c>
      <c r="L622" s="34" t="s">
        <v>1561</v>
      </c>
    </row>
    <row r="623" spans="1:12" ht="16.5" x14ac:dyDescent="0.35">
      <c r="A623" s="110" t="str">
        <f>HYPERLINK("http://examplebusiness.comwp-content/themes/finesse/images/overlay-link.png","http://examplebusiness.comwp-content/themes/finesse/images/overlay-link.png")</f>
        <v>http://examplebusiness.comwp-content/themes/finesse/images/overlay-link.png</v>
      </c>
      <c r="B623" s="34">
        <v>4</v>
      </c>
      <c r="C623" s="34">
        <v>0</v>
      </c>
      <c r="D623" s="34">
        <v>0</v>
      </c>
      <c r="E623" s="34">
        <v>0</v>
      </c>
      <c r="F623" s="34">
        <v>301</v>
      </c>
      <c r="G623" s="34">
        <v>0</v>
      </c>
      <c r="H623" s="34"/>
      <c r="I623" s="34" t="s">
        <v>1561</v>
      </c>
      <c r="J623" s="34" t="s">
        <v>1561</v>
      </c>
      <c r="K623" s="107" t="s">
        <v>1561</v>
      </c>
      <c r="L623" s="34" t="s">
        <v>1561</v>
      </c>
    </row>
    <row r="624" spans="1:12" ht="16.5" x14ac:dyDescent="0.35">
      <c r="A624" s="110" t="str">
        <f>HYPERLINK("http://examplebusiness.comwp-content/themes/finesse/images/overlay-zoom.png","http://examplebusiness.comwp-content/themes/finesse/images/overlay-zoom.png")</f>
        <v>http://examplebusiness.comwp-content/themes/finesse/images/overlay-zoom.png</v>
      </c>
      <c r="B624" s="34">
        <v>4</v>
      </c>
      <c r="C624" s="34">
        <v>0</v>
      </c>
      <c r="D624" s="34">
        <v>0</v>
      </c>
      <c r="E624" s="34">
        <v>0</v>
      </c>
      <c r="F624" s="34">
        <v>301</v>
      </c>
      <c r="G624" s="34">
        <v>0</v>
      </c>
      <c r="H624" s="34"/>
      <c r="I624" s="34" t="s">
        <v>1561</v>
      </c>
      <c r="J624" s="34" t="s">
        <v>1561</v>
      </c>
      <c r="K624" s="107" t="s">
        <v>1561</v>
      </c>
      <c r="L624" s="34" t="s">
        <v>1561</v>
      </c>
    </row>
    <row r="625" spans="1:12" ht="16.5" x14ac:dyDescent="0.35">
      <c r="A625" s="110" t="str">
        <f>HYPERLINK("http://examplebusiness.comwp-content/themes/finesse/images/scroll-top.png","http://examplebusiness.comwp-content/themes/finesse/images/scroll-top.png")</f>
        <v>http://examplebusiness.comwp-content/themes/finesse/images/scroll-top.png</v>
      </c>
      <c r="B625" s="34">
        <v>4</v>
      </c>
      <c r="C625" s="34">
        <v>0</v>
      </c>
      <c r="D625" s="34">
        <v>0</v>
      </c>
      <c r="E625" s="34">
        <v>0</v>
      </c>
      <c r="F625" s="34">
        <v>301</v>
      </c>
      <c r="G625" s="34">
        <v>0</v>
      </c>
      <c r="H625" s="34"/>
      <c r="I625" s="34" t="s">
        <v>1561</v>
      </c>
      <c r="J625" s="34" t="s">
        <v>1561</v>
      </c>
      <c r="K625" s="107" t="s">
        <v>1561</v>
      </c>
      <c r="L625" s="34" t="s">
        <v>1561</v>
      </c>
    </row>
    <row r="626" spans="1:12" ht="16.5" x14ac:dyDescent="0.35">
      <c r="A626" s="110" t="str">
        <f>HYPERLINK("http://examplebusiness.comwp-content/themes/finesse/images/search.png","http://examplebusiness.comwp-content/themes/finesse/images/search.png")</f>
        <v>http://examplebusiness.comwp-content/themes/finesse/images/search.png</v>
      </c>
      <c r="B626" s="34">
        <v>4</v>
      </c>
      <c r="C626" s="34">
        <v>0</v>
      </c>
      <c r="D626" s="34">
        <v>0</v>
      </c>
      <c r="E626" s="34">
        <v>0</v>
      </c>
      <c r="F626" s="34">
        <v>301</v>
      </c>
      <c r="G626" s="34">
        <v>0</v>
      </c>
      <c r="H626" s="34"/>
      <c r="I626" s="34" t="s">
        <v>1561</v>
      </c>
      <c r="J626" s="34" t="s">
        <v>1561</v>
      </c>
      <c r="K626" s="107" t="s">
        <v>1561</v>
      </c>
      <c r="L626" s="34" t="s">
        <v>1561</v>
      </c>
    </row>
    <row r="627" spans="1:12" ht="16.5" x14ac:dyDescent="0.35">
      <c r="A627" s="110" t="str">
        <f>HYPERLINK("http://examplebusiness.comwp-content/themes/finesse/images/slider/arrows.png","http://examplebusiness.comwp-content/themes/finesse/images/slider/arrows.png")</f>
        <v>http://examplebusiness.comwp-content/themes/finesse/images/slider/arrows.png</v>
      </c>
      <c r="B627" s="34">
        <v>4</v>
      </c>
      <c r="C627" s="34">
        <v>0</v>
      </c>
      <c r="D627" s="34">
        <v>0</v>
      </c>
      <c r="E627" s="34">
        <v>0</v>
      </c>
      <c r="F627" s="34">
        <v>301</v>
      </c>
      <c r="G627" s="34">
        <v>0</v>
      </c>
      <c r="H627" s="34"/>
      <c r="I627" s="34" t="s">
        <v>1561</v>
      </c>
      <c r="J627" s="34" t="s">
        <v>1561</v>
      </c>
      <c r="K627" s="107" t="s">
        <v>1561</v>
      </c>
      <c r="L627" s="34" t="s">
        <v>1561</v>
      </c>
    </row>
    <row r="628" spans="1:12" ht="16.5" x14ac:dyDescent="0.35">
      <c r="A628" s="110" t="str">
        <f>HYPERLINK("http://examplebusiness.comwp-content/themes/finesse/images/social-media/email.png","http://examplebusiness.comwp-content/themes/finesse/images/social-media/email.png")</f>
        <v>http://examplebusiness.comwp-content/themes/finesse/images/social-media/email.png</v>
      </c>
      <c r="B628" s="34">
        <v>4</v>
      </c>
      <c r="C628" s="34">
        <v>0</v>
      </c>
      <c r="D628" s="34">
        <v>0</v>
      </c>
      <c r="E628" s="34">
        <v>0</v>
      </c>
      <c r="F628" s="34">
        <v>301</v>
      </c>
      <c r="G628" s="34">
        <v>0</v>
      </c>
      <c r="H628" s="34"/>
      <c r="I628" s="34" t="s">
        <v>1561</v>
      </c>
      <c r="J628" s="34" t="s">
        <v>1561</v>
      </c>
      <c r="K628" s="107" t="s">
        <v>1561</v>
      </c>
      <c r="L628" s="34" t="s">
        <v>1561</v>
      </c>
    </row>
    <row r="629" spans="1:12" ht="16.5" x14ac:dyDescent="0.35">
      <c r="A629" s="110" t="str">
        <f>HYPERLINK("http://examplebusiness.comwp-content/themes/finesse/images/social-media/facebook-circular.png","http://examplebusiness.comwp-content/themes/finesse/images/social-media/facebook-circular.png")</f>
        <v>http://examplebusiness.comwp-content/themes/finesse/images/social-media/facebook-circular.png</v>
      </c>
      <c r="B629" s="34">
        <v>4</v>
      </c>
      <c r="C629" s="34">
        <v>0</v>
      </c>
      <c r="D629" s="34">
        <v>0</v>
      </c>
      <c r="E629" s="34">
        <v>0</v>
      </c>
      <c r="F629" s="34">
        <v>301</v>
      </c>
      <c r="G629" s="34">
        <v>0</v>
      </c>
      <c r="H629" s="34"/>
      <c r="I629" s="34" t="s">
        <v>1561</v>
      </c>
      <c r="J629" s="34" t="s">
        <v>1561</v>
      </c>
      <c r="K629" s="107" t="s">
        <v>1561</v>
      </c>
      <c r="L629" s="34" t="s">
        <v>1561</v>
      </c>
    </row>
    <row r="630" spans="1:12" ht="16.5" x14ac:dyDescent="0.35">
      <c r="A630" s="110" t="str">
        <f>HYPERLINK("http://examplebusiness.comwp-content/themes/finesse/images/social-media/facebook.png","http://examplebusiness.comwp-content/themes/finesse/images/social-media/facebook.png")</f>
        <v>http://examplebusiness.comwp-content/themes/finesse/images/social-media/facebook.png</v>
      </c>
      <c r="B630" s="34">
        <v>4</v>
      </c>
      <c r="C630" s="34">
        <v>0</v>
      </c>
      <c r="D630" s="34">
        <v>0</v>
      </c>
      <c r="E630" s="34">
        <v>0</v>
      </c>
      <c r="F630" s="34">
        <v>301</v>
      </c>
      <c r="G630" s="34">
        <v>0</v>
      </c>
      <c r="H630" s="34"/>
      <c r="I630" s="34" t="s">
        <v>1561</v>
      </c>
      <c r="J630" s="34" t="s">
        <v>1561</v>
      </c>
      <c r="K630" s="107" t="s">
        <v>1561</v>
      </c>
      <c r="L630" s="34" t="s">
        <v>1561</v>
      </c>
    </row>
    <row r="631" spans="1:12" ht="16.5" x14ac:dyDescent="0.35">
      <c r="A631" s="110" t="str">
        <f>HYPERLINK("http://examplebusiness.comwp-content/themes/finesse/images/social-media/google-circular.png","http://examplebusiness.comwp-content/themes/finesse/images/social-media/google-circular.png")</f>
        <v>http://examplebusiness.comwp-content/themes/finesse/images/social-media/google-circular.png</v>
      </c>
      <c r="B631" s="34">
        <v>4</v>
      </c>
      <c r="C631" s="34">
        <v>0</v>
      </c>
      <c r="D631" s="34">
        <v>0</v>
      </c>
      <c r="E631" s="34">
        <v>0</v>
      </c>
      <c r="F631" s="34">
        <v>301</v>
      </c>
      <c r="G631" s="34">
        <v>0</v>
      </c>
      <c r="H631" s="34"/>
      <c r="I631" s="34" t="s">
        <v>1561</v>
      </c>
      <c r="J631" s="34" t="s">
        <v>1561</v>
      </c>
      <c r="K631" s="107" t="s">
        <v>1561</v>
      </c>
      <c r="L631" s="34" t="s">
        <v>1561</v>
      </c>
    </row>
    <row r="632" spans="1:12" ht="16.5" x14ac:dyDescent="0.35">
      <c r="A632" s="110" t="str">
        <f>HYPERLINK("http://examplebusiness.comwp-content/themes/finesse/images/social-media/googleplus.png","http://examplebusiness.comwp-content/themes/finesse/images/social-media/googleplus.png")</f>
        <v>http://examplebusiness.comwp-content/themes/finesse/images/social-media/googleplus.png</v>
      </c>
      <c r="B632" s="34">
        <v>4</v>
      </c>
      <c r="C632" s="34">
        <v>0</v>
      </c>
      <c r="D632" s="34">
        <v>0</v>
      </c>
      <c r="E632" s="34">
        <v>0</v>
      </c>
      <c r="F632" s="34">
        <v>301</v>
      </c>
      <c r="G632" s="34">
        <v>0</v>
      </c>
      <c r="H632" s="34"/>
      <c r="I632" s="34" t="s">
        <v>1561</v>
      </c>
      <c r="J632" s="34" t="s">
        <v>1561</v>
      </c>
      <c r="K632" s="107" t="s">
        <v>1561</v>
      </c>
      <c r="L632" s="34" t="s">
        <v>1561</v>
      </c>
    </row>
    <row r="633" spans="1:12" ht="16.5" x14ac:dyDescent="0.35">
      <c r="A633" s="110" t="str">
        <f>HYPERLINK("http://examplebusiness.comwp-content/themes/finesse/images/social-media/linkedin-circular.png","http://examplebusiness.comwp-content/themes/finesse/images/social-media/linkedin-circular.png")</f>
        <v>http://examplebusiness.comwp-content/themes/finesse/images/social-media/linkedin-circular.png</v>
      </c>
      <c r="B633" s="34">
        <v>4</v>
      </c>
      <c r="C633" s="34">
        <v>0</v>
      </c>
      <c r="D633" s="34">
        <v>0</v>
      </c>
      <c r="E633" s="34">
        <v>0</v>
      </c>
      <c r="F633" s="34">
        <v>301</v>
      </c>
      <c r="G633" s="34">
        <v>0</v>
      </c>
      <c r="H633" s="34"/>
      <c r="I633" s="34" t="s">
        <v>1561</v>
      </c>
      <c r="J633" s="34" t="s">
        <v>1561</v>
      </c>
      <c r="K633" s="107" t="s">
        <v>1561</v>
      </c>
      <c r="L633" s="34" t="s">
        <v>1561</v>
      </c>
    </row>
    <row r="634" spans="1:12" ht="16.5" x14ac:dyDescent="0.35">
      <c r="A634" s="110" t="str">
        <f>HYPERLINK("http://examplebusiness.comwp-content/themes/finesse/images/social-media/linkedin.png","http://examplebusiness.comwp-content/themes/finesse/images/social-media/linkedin.png")</f>
        <v>http://examplebusiness.comwp-content/themes/finesse/images/social-media/linkedin.png</v>
      </c>
      <c r="B634" s="34">
        <v>4</v>
      </c>
      <c r="C634" s="34">
        <v>0</v>
      </c>
      <c r="D634" s="34">
        <v>0</v>
      </c>
      <c r="E634" s="34">
        <v>0</v>
      </c>
      <c r="F634" s="34">
        <v>301</v>
      </c>
      <c r="G634" s="34">
        <v>0</v>
      </c>
      <c r="H634" s="34"/>
      <c r="I634" s="34" t="s">
        <v>1561</v>
      </c>
      <c r="J634" s="34" t="s">
        <v>1561</v>
      </c>
      <c r="K634" s="107" t="s">
        <v>1561</v>
      </c>
      <c r="L634" s="34" t="s">
        <v>1561</v>
      </c>
    </row>
    <row r="635" spans="1:12" ht="16.5" x14ac:dyDescent="0.35">
      <c r="A635" s="110" t="str">
        <f>HYPERLINK("http://examplebusiness.comwp-content/themes/finesse/images/social-media/rss-circular.png","http://examplebusiness.comwp-content/themes/finesse/images/social-media/rss-circular.png")</f>
        <v>http://examplebusiness.comwp-content/themes/finesse/images/social-media/rss-circular.png</v>
      </c>
      <c r="B635" s="34">
        <v>4</v>
      </c>
      <c r="C635" s="34">
        <v>0</v>
      </c>
      <c r="D635" s="34">
        <v>0</v>
      </c>
      <c r="E635" s="34">
        <v>0</v>
      </c>
      <c r="F635" s="34">
        <v>301</v>
      </c>
      <c r="G635" s="34">
        <v>0</v>
      </c>
      <c r="H635" s="34"/>
      <c r="I635" s="34" t="s">
        <v>1561</v>
      </c>
      <c r="J635" s="34" t="s">
        <v>1561</v>
      </c>
      <c r="K635" s="107" t="s">
        <v>1561</v>
      </c>
      <c r="L635" s="34" t="s">
        <v>1561</v>
      </c>
    </row>
    <row r="636" spans="1:12" ht="16.5" x14ac:dyDescent="0.35">
      <c r="A636" s="110" t="str">
        <f>HYPERLINK("http://examplebusiness.comwp-content/themes/finesse/images/social-media/skype-circular.png","http://examplebusiness.comwp-content/themes/finesse/images/social-media/skype-circular.png")</f>
        <v>http://examplebusiness.comwp-content/themes/finesse/images/social-media/skype-circular.png</v>
      </c>
      <c r="B636" s="34">
        <v>4</v>
      </c>
      <c r="C636" s="34">
        <v>0</v>
      </c>
      <c r="D636" s="34">
        <v>0</v>
      </c>
      <c r="E636" s="34">
        <v>0</v>
      </c>
      <c r="F636" s="34">
        <v>301</v>
      </c>
      <c r="G636" s="34">
        <v>0</v>
      </c>
      <c r="H636" s="34"/>
      <c r="I636" s="34" t="s">
        <v>1561</v>
      </c>
      <c r="J636" s="34" t="s">
        <v>1561</v>
      </c>
      <c r="K636" s="107" t="s">
        <v>1561</v>
      </c>
      <c r="L636" s="34" t="s">
        <v>1561</v>
      </c>
    </row>
    <row r="637" spans="1:12" ht="16.5" x14ac:dyDescent="0.35">
      <c r="A637" s="110" t="str">
        <f>HYPERLINK("http://examplebusiness.comwp-content/themes/finesse/images/social-media/skype.png","http://examplebusiness.comwp-content/themes/finesse/images/social-media/skype.png")</f>
        <v>http://examplebusiness.comwp-content/themes/finesse/images/social-media/skype.png</v>
      </c>
      <c r="B637" s="34">
        <v>4</v>
      </c>
      <c r="C637" s="34">
        <v>0</v>
      </c>
      <c r="D637" s="34">
        <v>0</v>
      </c>
      <c r="E637" s="34">
        <v>0</v>
      </c>
      <c r="F637" s="34">
        <v>301</v>
      </c>
      <c r="G637" s="34">
        <v>0</v>
      </c>
      <c r="H637" s="34"/>
      <c r="I637" s="34" t="s">
        <v>1561</v>
      </c>
      <c r="J637" s="34" t="s">
        <v>1561</v>
      </c>
      <c r="K637" s="107" t="s">
        <v>1561</v>
      </c>
      <c r="L637" s="34" t="s">
        <v>1561</v>
      </c>
    </row>
    <row r="638" spans="1:12" ht="16.5" x14ac:dyDescent="0.35">
      <c r="A638" s="110" t="str">
        <f>HYPERLINK("http://examplebusiness.comwp-content/themes/finesse/images/social-media/twitter-circular.png","http://examplebusiness.comwp-content/themes/finesse/images/social-media/twitter-circular.png")</f>
        <v>http://examplebusiness.comwp-content/themes/finesse/images/social-media/twitter-circular.png</v>
      </c>
      <c r="B638" s="34">
        <v>4</v>
      </c>
      <c r="C638" s="34">
        <v>0</v>
      </c>
      <c r="D638" s="34">
        <v>0</v>
      </c>
      <c r="E638" s="34">
        <v>0</v>
      </c>
      <c r="F638" s="34">
        <v>301</v>
      </c>
      <c r="G638" s="34">
        <v>0</v>
      </c>
      <c r="H638" s="34"/>
      <c r="I638" s="34" t="s">
        <v>1561</v>
      </c>
      <c r="J638" s="34" t="s">
        <v>1561</v>
      </c>
      <c r="K638" s="107" t="s">
        <v>1561</v>
      </c>
      <c r="L638" s="34" t="s">
        <v>1561</v>
      </c>
    </row>
    <row r="639" spans="1:12" ht="16.5" x14ac:dyDescent="0.35">
      <c r="A639" s="110" t="str">
        <f>HYPERLINK("http://examplebusiness.comwp-content/themes/finesse/images/social-media/twitter.png","http://examplebusiness.comwp-content/themes/finesse/images/social-media/twitter.png")</f>
        <v>http://examplebusiness.comwp-content/themes/finesse/images/social-media/twitter.png</v>
      </c>
      <c r="B639" s="34">
        <v>4</v>
      </c>
      <c r="C639" s="34">
        <v>0</v>
      </c>
      <c r="D639" s="34">
        <v>0</v>
      </c>
      <c r="E639" s="34">
        <v>0</v>
      </c>
      <c r="F639" s="34">
        <v>301</v>
      </c>
      <c r="G639" s="34">
        <v>0</v>
      </c>
      <c r="H639" s="34"/>
      <c r="I639" s="34" t="s">
        <v>1561</v>
      </c>
      <c r="J639" s="34" t="s">
        <v>1561</v>
      </c>
      <c r="K639" s="107" t="s">
        <v>1561</v>
      </c>
      <c r="L639" s="34" t="s">
        <v>1561</v>
      </c>
    </row>
    <row r="640" spans="1:12" ht="16.5" x14ac:dyDescent="0.35">
      <c r="A640" s="110" t="str">
        <f>HYPERLINK("http://examplebusiness.comwp-content/themes/finesse/images/social-media/vimeo-circular.png","http://examplebusiness.comwp-content/themes/finesse/images/social-media/vimeo-circular.png")</f>
        <v>http://examplebusiness.comwp-content/themes/finesse/images/social-media/vimeo-circular.png</v>
      </c>
      <c r="B640" s="34">
        <v>4</v>
      </c>
      <c r="C640" s="34">
        <v>0</v>
      </c>
      <c r="D640" s="34">
        <v>0</v>
      </c>
      <c r="E640" s="34">
        <v>0</v>
      </c>
      <c r="F640" s="34">
        <v>301</v>
      </c>
      <c r="G640" s="34">
        <v>0</v>
      </c>
      <c r="H640" s="34"/>
      <c r="I640" s="34" t="s">
        <v>1561</v>
      </c>
      <c r="J640" s="34" t="s">
        <v>1561</v>
      </c>
      <c r="K640" s="107" t="s">
        <v>1561</v>
      </c>
      <c r="L640" s="34" t="s">
        <v>1561</v>
      </c>
    </row>
    <row r="641" spans="1:12" ht="16.5" x14ac:dyDescent="0.35">
      <c r="A641" s="110" t="str">
        <f>HYPERLINK("http://examplebusiness.comwp-content/themes/finesse/images/social-media/vimeo.png","http://examplebusiness.comwp-content/themes/finesse/images/social-media/vimeo.png")</f>
        <v>http://examplebusiness.comwp-content/themes/finesse/images/social-media/vimeo.png</v>
      </c>
      <c r="B641" s="34">
        <v>4</v>
      </c>
      <c r="C641" s="34">
        <v>0</v>
      </c>
      <c r="D641" s="34">
        <v>0</v>
      </c>
      <c r="E641" s="34">
        <v>0</v>
      </c>
      <c r="F641" s="34">
        <v>301</v>
      </c>
      <c r="G641" s="34">
        <v>0</v>
      </c>
      <c r="H641" s="34"/>
      <c r="I641" s="34" t="s">
        <v>1561</v>
      </c>
      <c r="J641" s="34" t="s">
        <v>1561</v>
      </c>
      <c r="K641" s="107" t="s">
        <v>1561</v>
      </c>
      <c r="L641" s="34" t="s">
        <v>1561</v>
      </c>
    </row>
    <row r="642" spans="1:12" ht="16.5" x14ac:dyDescent="0.35">
      <c r="A642" s="110" t="str">
        <f>HYPERLINK("http://examplebusiness.comwp-content/themes/finesse/images/social-media/youtube-circular.png","http://examplebusiness.comwp-content/themes/finesse/images/social-media/youtube-circular.png")</f>
        <v>http://examplebusiness.comwp-content/themes/finesse/images/social-media/youtube-circular.png</v>
      </c>
      <c r="B642" s="34">
        <v>4</v>
      </c>
      <c r="C642" s="34">
        <v>0</v>
      </c>
      <c r="D642" s="34">
        <v>0</v>
      </c>
      <c r="E642" s="34">
        <v>0</v>
      </c>
      <c r="F642" s="34">
        <v>301</v>
      </c>
      <c r="G642" s="34">
        <v>0</v>
      </c>
      <c r="H642" s="34"/>
      <c r="I642" s="34" t="s">
        <v>1561</v>
      </c>
      <c r="J642" s="34" t="s">
        <v>1561</v>
      </c>
      <c r="K642" s="107" t="s">
        <v>1561</v>
      </c>
      <c r="L642" s="34" t="s">
        <v>1561</v>
      </c>
    </row>
    <row r="643" spans="1:12" ht="16.5" x14ac:dyDescent="0.35">
      <c r="A643" s="110" t="str">
        <f>HYPERLINK("http://examplebusiness.comwp-content/themes/finesse/images/social-media/youtube.png","http://examplebusiness.comwp-content/themes/finesse/images/social-media/youtube.png")</f>
        <v>http://examplebusiness.comwp-content/themes/finesse/images/social-media/youtube.png</v>
      </c>
      <c r="B643" s="34">
        <v>4</v>
      </c>
      <c r="C643" s="34">
        <v>0</v>
      </c>
      <c r="D643" s="34">
        <v>0</v>
      </c>
      <c r="E643" s="34">
        <v>0</v>
      </c>
      <c r="F643" s="34">
        <v>301</v>
      </c>
      <c r="G643" s="34">
        <v>0</v>
      </c>
      <c r="H643" s="34"/>
      <c r="I643" s="34" t="s">
        <v>1561</v>
      </c>
      <c r="J643" s="34" t="s">
        <v>1561</v>
      </c>
      <c r="K643" s="107" t="s">
        <v>1561</v>
      </c>
      <c r="L643" s="34" t="s">
        <v>1561</v>
      </c>
    </row>
    <row r="644" spans="1:12" ht="16.5" x14ac:dyDescent="0.35">
      <c r="A644" s="110" t="str">
        <f>HYPERLINK("http://examplebusiness.comwp-content/uploads/2013/08/2013-Client-Event-057-2.png","http://examplebusiness.comwp-content/uploads/2013/08/2013-Client-Event-057-2.png")</f>
        <v>http://examplebusiness.comwp-content/uploads/2013/08/2013-Client-Event-057-2.png</v>
      </c>
      <c r="B644" s="34">
        <v>4</v>
      </c>
      <c r="C644" s="34">
        <v>0</v>
      </c>
      <c r="D644" s="34">
        <v>0</v>
      </c>
      <c r="E644" s="34">
        <v>0</v>
      </c>
      <c r="F644" s="34">
        <v>301</v>
      </c>
      <c r="G644" s="34">
        <v>0</v>
      </c>
      <c r="H644" s="34"/>
      <c r="I644" s="34" t="s">
        <v>1561</v>
      </c>
      <c r="J644" s="34" t="s">
        <v>1561</v>
      </c>
      <c r="K644" s="107" t="s">
        <v>1561</v>
      </c>
      <c r="L644" s="34" t="s">
        <v>1561</v>
      </c>
    </row>
    <row r="645" spans="1:12" ht="16.5" x14ac:dyDescent="0.35">
      <c r="A645" s="110" t="str">
        <f>HYPERLINK("http://examplebusiness.comwp-content/uploads/2013/08/BoatCruise31.png","http://examplebusiness.comwp-content/uploads/2013/08/BoatCruise31.png")</f>
        <v>http://examplebusiness.comwp-content/uploads/2013/08/BoatCruise31.png</v>
      </c>
      <c r="B645" s="34">
        <v>4</v>
      </c>
      <c r="C645" s="34">
        <v>0</v>
      </c>
      <c r="D645" s="34">
        <v>0</v>
      </c>
      <c r="E645" s="34">
        <v>0</v>
      </c>
      <c r="F645" s="34">
        <v>301</v>
      </c>
      <c r="G645" s="34">
        <v>0</v>
      </c>
      <c r="H645" s="34"/>
      <c r="I645" s="34" t="s">
        <v>1561</v>
      </c>
      <c r="J645" s="34" t="s">
        <v>1561</v>
      </c>
      <c r="K645" s="107" t="s">
        <v>1561</v>
      </c>
      <c r="L645" s="34" t="s">
        <v>1561</v>
      </c>
    </row>
    <row r="646" spans="1:12" ht="16.5" x14ac:dyDescent="0.35">
      <c r="A646" s="110" t="str">
        <f>HYPERLINK("http://examplebusiness.comwp-content/uploads/2013/08/BoatCruise42.png","http://examplebusiness.comwp-content/uploads/2013/08/BoatCruise42.png")</f>
        <v>http://examplebusiness.comwp-content/uploads/2013/08/BoatCruise42.png</v>
      </c>
      <c r="B646" s="34">
        <v>4</v>
      </c>
      <c r="C646" s="34">
        <v>0</v>
      </c>
      <c r="D646" s="34">
        <v>0</v>
      </c>
      <c r="E646" s="34">
        <v>0</v>
      </c>
      <c r="F646" s="34">
        <v>301</v>
      </c>
      <c r="G646" s="34">
        <v>0</v>
      </c>
      <c r="H646" s="34"/>
      <c r="I646" s="34" t="s">
        <v>1561</v>
      </c>
      <c r="J646" s="34" t="s">
        <v>1561</v>
      </c>
      <c r="K646" s="107" t="s">
        <v>1561</v>
      </c>
      <c r="L646" s="34" t="s">
        <v>1561</v>
      </c>
    </row>
    <row r="647" spans="1:12" ht="16.5" x14ac:dyDescent="0.35">
      <c r="A647" s="110" t="str">
        <f>HYPERLINK("http://examplebusiness.comwp-content/uploads/2013/08/couple.png","http://examplebusiness.comwp-content/uploads/2013/08/couple.png")</f>
        <v>http://examplebusiness.comwp-content/uploads/2013/08/couple.png</v>
      </c>
      <c r="B647" s="34">
        <v>4</v>
      </c>
      <c r="C647" s="34">
        <v>0</v>
      </c>
      <c r="D647" s="34">
        <v>0</v>
      </c>
      <c r="E647" s="34">
        <v>0</v>
      </c>
      <c r="F647" s="34">
        <v>301</v>
      </c>
      <c r="G647" s="34">
        <v>0</v>
      </c>
      <c r="H647" s="34"/>
      <c r="I647" s="34" t="s">
        <v>1561</v>
      </c>
      <c r="J647" s="34" t="s">
        <v>1561</v>
      </c>
      <c r="K647" s="107" t="s">
        <v>1561</v>
      </c>
      <c r="L647" s="34" t="s">
        <v>1561</v>
      </c>
    </row>
    <row r="648" spans="1:12" ht="16.5" x14ac:dyDescent="0.35">
      <c r="A648" s="110" t="str">
        <f>HYPERLINK("http://examplebusiness.comwp-content/uploads/2013/08/FB3-Mike-on-Bike-cropped32.png","http://examplebusiness.comwp-content/uploads/2013/08/FB3-Mike-on-Bike-cropped32.png")</f>
        <v>http://examplebusiness.comwp-content/uploads/2013/08/FB3-Mike-on-Bike-cropped32.png</v>
      </c>
      <c r="B648" s="34">
        <v>4</v>
      </c>
      <c r="C648" s="34">
        <v>0</v>
      </c>
      <c r="D648" s="34">
        <v>0</v>
      </c>
      <c r="E648" s="34">
        <v>0</v>
      </c>
      <c r="F648" s="34">
        <v>301</v>
      </c>
      <c r="G648" s="34">
        <v>0</v>
      </c>
      <c r="H648" s="34"/>
      <c r="I648" s="34" t="s">
        <v>1561</v>
      </c>
      <c r="J648" s="34" t="s">
        <v>1561</v>
      </c>
      <c r="K648" s="107" t="s">
        <v>1561</v>
      </c>
      <c r="L648" s="34" t="s">
        <v>1561</v>
      </c>
    </row>
    <row r="649" spans="1:12" ht="16.5" x14ac:dyDescent="0.35">
      <c r="A649" s="110" t="str">
        <f>HYPERLINK("http://examplebusiness.comwp-content/uploads/2013/08/FB6-2013-Lake-Minnetonka-Triathlon21.png","http://examplebusiness.comwp-content/uploads/2013/08/FB6-2013-Lake-Minnetonka-Triathlon21.png")</f>
        <v>http://examplebusiness.comwp-content/uploads/2013/08/FB6-2013-Lake-Minnetonka-Triathlon21.png</v>
      </c>
      <c r="B649" s="34">
        <v>4</v>
      </c>
      <c r="C649" s="34">
        <v>0</v>
      </c>
      <c r="D649" s="34">
        <v>0</v>
      </c>
      <c r="E649" s="34">
        <v>0</v>
      </c>
      <c r="F649" s="34">
        <v>301</v>
      </c>
      <c r="G649" s="34">
        <v>0</v>
      </c>
      <c r="H649" s="34"/>
      <c r="I649" s="34" t="s">
        <v>1561</v>
      </c>
      <c r="J649" s="34" t="s">
        <v>1561</v>
      </c>
      <c r="K649" s="107" t="s">
        <v>1561</v>
      </c>
      <c r="L649" s="34" t="s">
        <v>1561</v>
      </c>
    </row>
    <row r="650" spans="1:12" ht="16.5" x14ac:dyDescent="0.35">
      <c r="A650" s="110" t="str">
        <f>HYPERLINK("http://examplebusiness.comwp-content/uploads/2013/08/FB7-Check-Presentation-cropped31.png","http://examplebusiness.comwp-content/uploads/2013/08/FB7-Check-Presentation-cropped31.png")</f>
        <v>http://examplebusiness.comwp-content/uploads/2013/08/FB7-Check-Presentation-cropped31.png</v>
      </c>
      <c r="B650" s="34">
        <v>4</v>
      </c>
      <c r="C650" s="34">
        <v>0</v>
      </c>
      <c r="D650" s="34">
        <v>0</v>
      </c>
      <c r="E650" s="34">
        <v>0</v>
      </c>
      <c r="F650" s="34">
        <v>301</v>
      </c>
      <c r="G650" s="34">
        <v>0</v>
      </c>
      <c r="H650" s="34"/>
      <c r="I650" s="34" t="s">
        <v>1561</v>
      </c>
      <c r="J650" s="34" t="s">
        <v>1561</v>
      </c>
      <c r="K650" s="107" t="s">
        <v>1561</v>
      </c>
      <c r="L650" s="34" t="s">
        <v>1561</v>
      </c>
    </row>
    <row r="651" spans="1:12" ht="16.5" x14ac:dyDescent="0.35">
      <c r="A651" s="110" t="str">
        <f>HYPERLINK("http://examplebusiness.comwp-content/uploads/2013/08/fishing1.png","http://examplebusiness.comwp-content/uploads/2013/08/fishing1.png")</f>
        <v>http://examplebusiness.comwp-content/uploads/2013/08/fishing1.png</v>
      </c>
      <c r="B651" s="34">
        <v>4</v>
      </c>
      <c r="C651" s="34">
        <v>0</v>
      </c>
      <c r="D651" s="34">
        <v>0</v>
      </c>
      <c r="E651" s="34">
        <v>0</v>
      </c>
      <c r="F651" s="34">
        <v>301</v>
      </c>
      <c r="G651" s="34">
        <v>0</v>
      </c>
      <c r="H651" s="34"/>
      <c r="I651" s="34" t="s">
        <v>1561</v>
      </c>
      <c r="J651" s="34" t="s">
        <v>1561</v>
      </c>
      <c r="K651" s="107" t="s">
        <v>1561</v>
      </c>
      <c r="L651" s="34" t="s">
        <v>1561</v>
      </c>
    </row>
    <row r="652" spans="1:12" ht="16.5" x14ac:dyDescent="0.35">
      <c r="A652" s="110" t="str">
        <f>HYPERLINK("http://examplebusiness.comwp-content/uploads/2013/08/Group-resized2.png","http://examplebusiness.comwp-content/uploads/2013/08/Group-resized2.png")</f>
        <v>http://examplebusiness.comwp-content/uploads/2013/08/Group-resized2.png</v>
      </c>
      <c r="B652" s="34">
        <v>4</v>
      </c>
      <c r="C652" s="34">
        <v>0</v>
      </c>
      <c r="D652" s="34">
        <v>0</v>
      </c>
      <c r="E652" s="34">
        <v>0</v>
      </c>
      <c r="F652" s="34">
        <v>301</v>
      </c>
      <c r="G652" s="34">
        <v>0</v>
      </c>
      <c r="H652" s="34"/>
      <c r="I652" s="34" t="s">
        <v>1561</v>
      </c>
      <c r="J652" s="34" t="s">
        <v>1561</v>
      </c>
      <c r="K652" s="107" t="s">
        <v>1561</v>
      </c>
      <c r="L652" s="34" t="s">
        <v>1561</v>
      </c>
    </row>
    <row r="653" spans="1:12" ht="16.5" x14ac:dyDescent="0.35">
      <c r="A653" s="110" t="str">
        <f>HYPERLINK("http://examplebusiness.comwp-content/uploads/2013/08/ica-your-local-foodshelf2.png","http://examplebusiness.comwp-content/uploads/2013/08/ica-your-local-foodshelf2.png")</f>
        <v>http://examplebusiness.comwp-content/uploads/2013/08/ica-your-local-foodshelf2.png</v>
      </c>
      <c r="B653" s="34">
        <v>4</v>
      </c>
      <c r="C653" s="34">
        <v>0</v>
      </c>
      <c r="D653" s="34">
        <v>0</v>
      </c>
      <c r="E653" s="34">
        <v>0</v>
      </c>
      <c r="F653" s="34">
        <v>301</v>
      </c>
      <c r="G653" s="34">
        <v>0</v>
      </c>
      <c r="H653" s="34"/>
      <c r="I653" s="34" t="s">
        <v>1561</v>
      </c>
      <c r="J653" s="34" t="s">
        <v>1561</v>
      </c>
      <c r="K653" s="107" t="s">
        <v>1561</v>
      </c>
      <c r="L653" s="34" t="s">
        <v>1561</v>
      </c>
    </row>
    <row r="654" spans="1:12" ht="16.5" x14ac:dyDescent="0.35">
      <c r="A654" s="110" t="str">
        <f>HYPERLINK("http://examplebusiness.comwp-content/uploads/2013/08/IMG_0413-group-cropped2.png","http://examplebusiness.comwp-content/uploads/2013/08/IMG_0413-group-cropped2.png")</f>
        <v>http://examplebusiness.comwp-content/uploads/2013/08/IMG_0413-group-cropped2.png</v>
      </c>
      <c r="B654" s="34">
        <v>4</v>
      </c>
      <c r="C654" s="34">
        <v>0</v>
      </c>
      <c r="D654" s="34">
        <v>0</v>
      </c>
      <c r="E654" s="34">
        <v>0</v>
      </c>
      <c r="F654" s="34">
        <v>301</v>
      </c>
      <c r="G654" s="34">
        <v>0</v>
      </c>
      <c r="H654" s="34"/>
      <c r="I654" s="34" t="s">
        <v>1561</v>
      </c>
      <c r="J654" s="34" t="s">
        <v>1561</v>
      </c>
      <c r="K654" s="107" t="s">
        <v>1561</v>
      </c>
      <c r="L654" s="34" t="s">
        <v>1561</v>
      </c>
    </row>
    <row r="655" spans="1:12" ht="16.5" x14ac:dyDescent="0.35">
      <c r="A655" s="110" t="str">
        <f>HYPERLINK("http://examplebusiness.comwp-content/uploads/2013/08/IMG_0425-lake-cropped3.png","http://examplebusiness.comwp-content/uploads/2013/08/IMG_0425-lake-cropped3.png")</f>
        <v>http://examplebusiness.comwp-content/uploads/2013/08/IMG_0425-lake-cropped3.png</v>
      </c>
      <c r="B655" s="34">
        <v>4</v>
      </c>
      <c r="C655" s="34">
        <v>0</v>
      </c>
      <c r="D655" s="34">
        <v>0</v>
      </c>
      <c r="E655" s="34">
        <v>0</v>
      </c>
      <c r="F655" s="34">
        <v>301</v>
      </c>
      <c r="G655" s="34">
        <v>0</v>
      </c>
      <c r="H655" s="34"/>
      <c r="I655" s="34" t="s">
        <v>1561</v>
      </c>
      <c r="J655" s="34" t="s">
        <v>1561</v>
      </c>
      <c r="K655" s="107" t="s">
        <v>1561</v>
      </c>
      <c r="L655" s="34" t="s">
        <v>1561</v>
      </c>
    </row>
    <row r="656" spans="1:12" ht="16.5" x14ac:dyDescent="0.35">
      <c r="A656" s="110" t="str">
        <f>HYPERLINK("http://examplebusiness.comwp-content/uploads/2013/08/JanetJacobitz.png","http://examplebusiness.comwp-content/uploads/2013/08/JanetJacobitz.png")</f>
        <v>http://examplebusiness.comwp-content/uploads/2013/08/JanetJacobitz.png</v>
      </c>
      <c r="B656" s="34">
        <v>4</v>
      </c>
      <c r="C656" s="34">
        <v>0</v>
      </c>
      <c r="D656" s="34">
        <v>0</v>
      </c>
      <c r="E656" s="34">
        <v>0</v>
      </c>
      <c r="F656" s="34">
        <v>301</v>
      </c>
      <c r="G656" s="34">
        <v>0</v>
      </c>
      <c r="H656" s="34"/>
      <c r="I656" s="34" t="s">
        <v>1561</v>
      </c>
      <c r="J656" s="34" t="s">
        <v>1561</v>
      </c>
      <c r="K656" s="107" t="s">
        <v>1561</v>
      </c>
      <c r="L656" s="34" t="s">
        <v>1561</v>
      </c>
    </row>
    <row r="657" spans="1:12" ht="16.5" x14ac:dyDescent="0.35">
      <c r="A657" s="110" t="str">
        <f>HYPERLINK("http://examplebusiness.comwp-content/uploads/2013/08/KirstenDavidson.png","http://examplebusiness.comwp-content/uploads/2013/08/KirstenDavidson.png")</f>
        <v>http://examplebusiness.comwp-content/uploads/2013/08/KirstenDavidson.png</v>
      </c>
      <c r="B657" s="34">
        <v>4</v>
      </c>
      <c r="C657" s="34">
        <v>0</v>
      </c>
      <c r="D657" s="34">
        <v>0</v>
      </c>
      <c r="E657" s="34">
        <v>0</v>
      </c>
      <c r="F657" s="34">
        <v>301</v>
      </c>
      <c r="G657" s="34">
        <v>0</v>
      </c>
      <c r="H657" s="34"/>
      <c r="I657" s="34" t="s">
        <v>1561</v>
      </c>
      <c r="J657" s="34" t="s">
        <v>1561</v>
      </c>
      <c r="K657" s="107" t="s">
        <v>1561</v>
      </c>
      <c r="L657" s="34" t="s">
        <v>1561</v>
      </c>
    </row>
    <row r="658" spans="1:12" ht="16.5" x14ac:dyDescent="0.35">
      <c r="A658" s="110" t="str">
        <f>HYPERLINK("http://examplebusiness.comwp-content/uploads/2013/08/Market-Overview-2014-Dan-cropped2.png","http://examplebusiness.comwp-content/uploads/2013/08/Market-Overview-2014-Dan-cropped2.png")</f>
        <v>http://examplebusiness.comwp-content/uploads/2013/08/Market-Overview-2014-Dan-cropped2.png</v>
      </c>
      <c r="B658" s="34">
        <v>4</v>
      </c>
      <c r="C658" s="34">
        <v>0</v>
      </c>
      <c r="D658" s="34">
        <v>0</v>
      </c>
      <c r="E658" s="34">
        <v>0</v>
      </c>
      <c r="F658" s="34">
        <v>301</v>
      </c>
      <c r="G658" s="34">
        <v>0</v>
      </c>
      <c r="H658" s="34"/>
      <c r="I658" s="34" t="s">
        <v>1561</v>
      </c>
      <c r="J658" s="34" t="s">
        <v>1561</v>
      </c>
      <c r="K658" s="107" t="s">
        <v>1561</v>
      </c>
      <c r="L658" s="34" t="s">
        <v>1561</v>
      </c>
    </row>
    <row r="659" spans="1:12" ht="16.5" x14ac:dyDescent="0.35">
      <c r="A659" s="110" t="str">
        <f>HYPERLINK("http://examplebusiness.comwp-content/uploads/2013/08/Market-Overview-2014-Mike-cropped2.png","http://examplebusiness.comwp-content/uploads/2013/08/Market-Overview-2014-Mike-cropped2.png")</f>
        <v>http://examplebusiness.comwp-content/uploads/2013/08/Market-Overview-2014-Mike-cropped2.png</v>
      </c>
      <c r="B659" s="34">
        <v>4</v>
      </c>
      <c r="C659" s="34">
        <v>0</v>
      </c>
      <c r="D659" s="34">
        <v>0</v>
      </c>
      <c r="E659" s="34">
        <v>0</v>
      </c>
      <c r="F659" s="34">
        <v>301</v>
      </c>
      <c r="G659" s="34">
        <v>0</v>
      </c>
      <c r="H659" s="34"/>
      <c r="I659" s="34" t="s">
        <v>1561</v>
      </c>
      <c r="J659" s="34" t="s">
        <v>1561</v>
      </c>
      <c r="K659" s="107" t="s">
        <v>1561</v>
      </c>
      <c r="L659" s="34" t="s">
        <v>1561</v>
      </c>
    </row>
    <row r="660" spans="1:12" ht="16.5" x14ac:dyDescent="0.35">
      <c r="A660" s="110" t="str">
        <f>HYPERLINK("http://examplebusiness.comwp-content/uploads/2013/08/Market-Overview-2014-Tom-cropped2.png","http://examplebusiness.comwp-content/uploads/2013/08/Market-Overview-2014-Tom-cropped2.png")</f>
        <v>http://examplebusiness.comwp-content/uploads/2013/08/Market-Overview-2014-Tom-cropped2.png</v>
      </c>
      <c r="B660" s="34">
        <v>4</v>
      </c>
      <c r="C660" s="34">
        <v>0</v>
      </c>
      <c r="D660" s="34">
        <v>0</v>
      </c>
      <c r="E660" s="34">
        <v>0</v>
      </c>
      <c r="F660" s="34">
        <v>301</v>
      </c>
      <c r="G660" s="34">
        <v>0</v>
      </c>
      <c r="H660" s="34"/>
      <c r="I660" s="34" t="s">
        <v>1561</v>
      </c>
      <c r="J660" s="34" t="s">
        <v>1561</v>
      </c>
      <c r="K660" s="107" t="s">
        <v>1561</v>
      </c>
      <c r="L660" s="34" t="s">
        <v>1561</v>
      </c>
    </row>
    <row r="661" spans="1:12" ht="16.5" x14ac:dyDescent="0.35">
      <c r="A661" s="110" t="str">
        <f>HYPERLINK("http://examplebusiness.comwp-content/uploads/2013/08/newslider1.png","http://examplebusiness.comwp-content/uploads/2013/08/newslider1.png")</f>
        <v>http://examplebusiness.comwp-content/uploads/2013/08/newslider1.png</v>
      </c>
      <c r="B661" s="34">
        <v>4</v>
      </c>
      <c r="C661" s="34">
        <v>0</v>
      </c>
      <c r="D661" s="34">
        <v>0</v>
      </c>
      <c r="E661" s="34">
        <v>0</v>
      </c>
      <c r="F661" s="34">
        <v>301</v>
      </c>
      <c r="G661" s="34">
        <v>0</v>
      </c>
      <c r="H661" s="34"/>
      <c r="I661" s="34" t="s">
        <v>1561</v>
      </c>
      <c r="J661" s="34" t="s">
        <v>1561</v>
      </c>
      <c r="K661" s="107" t="s">
        <v>1561</v>
      </c>
      <c r="L661" s="34" t="s">
        <v>1561</v>
      </c>
    </row>
    <row r="662" spans="1:12" ht="16.5" x14ac:dyDescent="0.35">
      <c r="A662" s="110" t="str">
        <f>HYPERLINK("http://examplebusiness.comwp-content/uploads/2013/08/newslider3.png","http://examplebusiness.comwp-content/uploads/2013/08/newslider3.png")</f>
        <v>http://examplebusiness.comwp-content/uploads/2013/08/newslider3.png</v>
      </c>
      <c r="B662" s="34">
        <v>4</v>
      </c>
      <c r="C662" s="34">
        <v>0</v>
      </c>
      <c r="D662" s="34">
        <v>0</v>
      </c>
      <c r="E662" s="34">
        <v>0</v>
      </c>
      <c r="F662" s="34">
        <v>301</v>
      </c>
      <c r="G662" s="34">
        <v>0</v>
      </c>
      <c r="H662" s="34"/>
      <c r="I662" s="34" t="s">
        <v>1561</v>
      </c>
      <c r="J662" s="34" t="s">
        <v>1561</v>
      </c>
      <c r="K662" s="107" t="s">
        <v>1561</v>
      </c>
      <c r="L662" s="34" t="s">
        <v>1561</v>
      </c>
    </row>
    <row r="663" spans="1:12" ht="16.5" x14ac:dyDescent="0.35">
      <c r="A663" s="110" t="str">
        <f>HYPERLINK("http://examplebusiness.comwp-content/uploads/2013/08/retirementcalc1.png","http://examplebusiness.comwp-content/uploads/2013/08/retirementcalc1.png")</f>
        <v>http://examplebusiness.comwp-content/uploads/2013/08/retirementcalc1.png</v>
      </c>
      <c r="B663" s="34">
        <v>4</v>
      </c>
      <c r="C663" s="34">
        <v>0</v>
      </c>
      <c r="D663" s="34">
        <v>0</v>
      </c>
      <c r="E663" s="34">
        <v>0</v>
      </c>
      <c r="F663" s="34">
        <v>301</v>
      </c>
      <c r="G663" s="34">
        <v>0</v>
      </c>
      <c r="H663" s="34"/>
      <c r="I663" s="34" t="s">
        <v>1561</v>
      </c>
      <c r="J663" s="34" t="s">
        <v>1561</v>
      </c>
      <c r="K663" s="107" t="s">
        <v>1561</v>
      </c>
      <c r="L663" s="34" t="s">
        <v>1561</v>
      </c>
    </row>
    <row r="664" spans="1:12" ht="16.5" x14ac:dyDescent="0.35">
      <c r="A664" s="110" t="str">
        <f>HYPERLINK("http://examplebusiness.comwp-content/uploads/2013/08/Secrest-table-resized31.png","http://examplebusiness.comwp-content/uploads/2013/08/Secrest-table-resized31.png")</f>
        <v>http://examplebusiness.comwp-content/uploads/2013/08/Secrest-table-resized31.png</v>
      </c>
      <c r="B664" s="34">
        <v>4</v>
      </c>
      <c r="C664" s="34">
        <v>0</v>
      </c>
      <c r="D664" s="34">
        <v>0</v>
      </c>
      <c r="E664" s="34">
        <v>0</v>
      </c>
      <c r="F664" s="34">
        <v>301</v>
      </c>
      <c r="G664" s="34">
        <v>0</v>
      </c>
      <c r="H664" s="34"/>
      <c r="I664" s="34" t="s">
        <v>1561</v>
      </c>
      <c r="J664" s="34" t="s">
        <v>1561</v>
      </c>
      <c r="K664" s="107" t="s">
        <v>1561</v>
      </c>
      <c r="L664" s="34" t="s">
        <v>1561</v>
      </c>
    </row>
    <row r="665" spans="1:12" ht="16.5" x14ac:dyDescent="0.35">
      <c r="A665" s="110" t="str">
        <f>HYPERLINK("http://examplebusiness.comwp-content/uploads/2013/08/Soup-Cook-Off-k-and-t-cropped2.png","http://examplebusiness.comwp-content/uploads/2013/08/Soup-Cook-Off-k-and-t-cropped2.png")</f>
        <v>http://examplebusiness.comwp-content/uploads/2013/08/Soup-Cook-Off-k-and-t-cropped2.png</v>
      </c>
      <c r="B665" s="34">
        <v>4</v>
      </c>
      <c r="C665" s="34">
        <v>0</v>
      </c>
      <c r="D665" s="34">
        <v>0</v>
      </c>
      <c r="E665" s="34">
        <v>0</v>
      </c>
      <c r="F665" s="34">
        <v>301</v>
      </c>
      <c r="G665" s="34">
        <v>0</v>
      </c>
      <c r="H665" s="34"/>
      <c r="I665" s="34" t="s">
        <v>1561</v>
      </c>
      <c r="J665" s="34" t="s">
        <v>1561</v>
      </c>
      <c r="K665" s="107" t="s">
        <v>1561</v>
      </c>
      <c r="L665" s="34" t="s">
        <v>1561</v>
      </c>
    </row>
    <row r="666" spans="1:12" ht="16.5" x14ac:dyDescent="0.35">
      <c r="A666" s="110" t="str">
        <f>HYPERLINK("http://examplebusiness.comwp-content/uploads/2013/08/Soup-Cook-Off-mike-ed-cropped2.png","http://examplebusiness.comwp-content/uploads/2013/08/Soup-Cook-Off-mike-ed-cropped2.png")</f>
        <v>http://examplebusiness.comwp-content/uploads/2013/08/Soup-Cook-Off-mike-ed-cropped2.png</v>
      </c>
      <c r="B666" s="34">
        <v>4</v>
      </c>
      <c r="C666" s="34">
        <v>0</v>
      </c>
      <c r="D666" s="34">
        <v>0</v>
      </c>
      <c r="E666" s="34">
        <v>0</v>
      </c>
      <c r="F666" s="34">
        <v>301</v>
      </c>
      <c r="G666" s="34">
        <v>0</v>
      </c>
      <c r="H666" s="34"/>
      <c r="I666" s="34" t="s">
        <v>1561</v>
      </c>
      <c r="J666" s="34" t="s">
        <v>1561</v>
      </c>
      <c r="K666" s="107" t="s">
        <v>1561</v>
      </c>
      <c r="L666" s="34" t="s">
        <v>1561</v>
      </c>
    </row>
    <row r="667" spans="1:12" ht="16.5" x14ac:dyDescent="0.35">
      <c r="A667" s="110" t="str">
        <f>HYPERLINK("http://examplebusiness.comwp-content/uploads/2013/08/Soup-Cook-Off-t-and-r-cropped2.png","http://examplebusiness.comwp-content/uploads/2013/08/Soup-Cook-Off-t-and-r-cropped2.png")</f>
        <v>http://examplebusiness.comwp-content/uploads/2013/08/Soup-Cook-Off-t-and-r-cropped2.png</v>
      </c>
      <c r="B667" s="34">
        <v>4</v>
      </c>
      <c r="C667" s="34">
        <v>0</v>
      </c>
      <c r="D667" s="34">
        <v>0</v>
      </c>
      <c r="E667" s="34">
        <v>0</v>
      </c>
      <c r="F667" s="34">
        <v>301</v>
      </c>
      <c r="G667" s="34">
        <v>0</v>
      </c>
      <c r="H667" s="34"/>
      <c r="I667" s="34" t="s">
        <v>1561</v>
      </c>
      <c r="J667" s="34" t="s">
        <v>1561</v>
      </c>
      <c r="K667" s="107" t="s">
        <v>1561</v>
      </c>
      <c r="L667" s="34" t="s">
        <v>1561</v>
      </c>
    </row>
    <row r="668" spans="1:12" ht="16.5" x14ac:dyDescent="0.35">
      <c r="A668" s="110" t="str">
        <f>HYPERLINK("http://examplebusiness.comwp-content/uploads/2013/08/TheresaGoff.png","http://examplebusiness.comwp-content/uploads/2013/08/TheresaGoff.png")</f>
        <v>http://examplebusiness.comwp-content/uploads/2013/08/TheresaGoff.png</v>
      </c>
      <c r="B668" s="34">
        <v>4</v>
      </c>
      <c r="C668" s="34">
        <v>0</v>
      </c>
      <c r="D668" s="34">
        <v>0</v>
      </c>
      <c r="E668" s="34">
        <v>0</v>
      </c>
      <c r="F668" s="34">
        <v>301</v>
      </c>
      <c r="G668" s="34">
        <v>0</v>
      </c>
      <c r="H668" s="34"/>
      <c r="I668" s="34" t="s">
        <v>1561</v>
      </c>
      <c r="J668" s="34" t="s">
        <v>1561</v>
      </c>
      <c r="K668" s="107" t="s">
        <v>1561</v>
      </c>
      <c r="L668" s="34" t="s">
        <v>1561</v>
      </c>
    </row>
    <row r="669" spans="1:12" ht="16.5" x14ac:dyDescent="0.35">
      <c r="A669" s="110" t="str">
        <f>HYPERLINK("http://examplebusiness.comwp-content/uploads/2013/08/tomwihitnah.png","http://examplebusiness.comwp-content/uploads/2013/08/tomwihitnah.png")</f>
        <v>http://examplebusiness.comwp-content/uploads/2013/08/tomwihitnah.png</v>
      </c>
      <c r="B669" s="34">
        <v>4</v>
      </c>
      <c r="C669" s="34">
        <v>0</v>
      </c>
      <c r="D669" s="34">
        <v>0</v>
      </c>
      <c r="E669" s="34">
        <v>0</v>
      </c>
      <c r="F669" s="34">
        <v>301</v>
      </c>
      <c r="G669" s="34">
        <v>0</v>
      </c>
      <c r="H669" s="34"/>
      <c r="I669" s="34" t="s">
        <v>1561</v>
      </c>
      <c r="J669" s="34" t="s">
        <v>1561</v>
      </c>
      <c r="K669" s="107" t="s">
        <v>1561</v>
      </c>
      <c r="L669" s="34" t="s">
        <v>1561</v>
      </c>
    </row>
    <row r="670" spans="1:12" ht="16.5" x14ac:dyDescent="0.35">
      <c r="A670" s="110" t="str">
        <f>HYPERLINK("http://examplebusiness.comwp-content/uploads/2013/08/warehouse-Mike-and-Bruce-resized31.png","http://examplebusiness.comwp-content/uploads/2013/08/warehouse-Mike-and-Bruce-resized31.png")</f>
        <v>http://examplebusiness.comwp-content/uploads/2013/08/warehouse-Mike-and-Bruce-resized31.png</v>
      </c>
      <c r="B670" s="34">
        <v>4</v>
      </c>
      <c r="C670" s="34">
        <v>0</v>
      </c>
      <c r="D670" s="34">
        <v>0</v>
      </c>
      <c r="E670" s="34">
        <v>0</v>
      </c>
      <c r="F670" s="34">
        <v>301</v>
      </c>
      <c r="G670" s="34">
        <v>0</v>
      </c>
      <c r="H670" s="34"/>
      <c r="I670" s="34" t="s">
        <v>1561</v>
      </c>
      <c r="J670" s="34" t="s">
        <v>1561</v>
      </c>
      <c r="K670" s="107" t="s">
        <v>1561</v>
      </c>
      <c r="L670" s="34" t="s">
        <v>1561</v>
      </c>
    </row>
    <row r="671" spans="1:12" ht="16.5" x14ac:dyDescent="0.35">
      <c r="A671" s="110" t="str">
        <f>HYPERLINK("http://examplebusiness.comwp-content/uploads/2014/02/abc-Logo-EPS1.png","http://examplebusiness.comwp-content/uploads/2014/02/abc-Logo-EPS1.png")</f>
        <v>http://examplebusiness.comwp-content/uploads/2014/02/abc-Logo-EPS1.png</v>
      </c>
      <c r="B671" s="34">
        <v>4</v>
      </c>
      <c r="C671" s="34">
        <v>0</v>
      </c>
      <c r="D671" s="34">
        <v>0</v>
      </c>
      <c r="E671" s="34">
        <v>0</v>
      </c>
      <c r="F671" s="34">
        <v>301</v>
      </c>
      <c r="G671" s="34">
        <v>0</v>
      </c>
      <c r="H671" s="34"/>
      <c r="I671" s="34" t="s">
        <v>1561</v>
      </c>
      <c r="J671" s="34" t="s">
        <v>1561</v>
      </c>
      <c r="K671" s="107" t="s">
        <v>1561</v>
      </c>
      <c r="L671" s="34" t="s">
        <v>1561</v>
      </c>
    </row>
    <row r="672" spans="1:12" ht="16.5" x14ac:dyDescent="0.35">
      <c r="A672" s="110" t="str">
        <f>HYPERLINK("http://examplebusiness.comwp-content/uploads/2014/03/FinancialPlanningBubbleGraphic2.png","http://examplebusiness.comwp-content/uploads/2014/03/FinancialPlanningBubbleGraphic2.png")</f>
        <v>http://examplebusiness.comwp-content/uploads/2014/03/FinancialPlanningBubbleGraphic2.png</v>
      </c>
      <c r="B672" s="34">
        <v>4</v>
      </c>
      <c r="C672" s="34">
        <v>0</v>
      </c>
      <c r="D672" s="34">
        <v>0</v>
      </c>
      <c r="E672" s="34">
        <v>0</v>
      </c>
      <c r="F672" s="34">
        <v>301</v>
      </c>
      <c r="G672" s="34">
        <v>0</v>
      </c>
      <c r="H672" s="34"/>
      <c r="I672" s="34" t="s">
        <v>1561</v>
      </c>
      <c r="J672" s="34" t="s">
        <v>1561</v>
      </c>
      <c r="K672" s="107" t="s">
        <v>1561</v>
      </c>
      <c r="L672" s="34" t="s">
        <v>1561</v>
      </c>
    </row>
    <row r="673" spans="1:12" ht="16.5" x14ac:dyDescent="0.35">
      <c r="A673" s="110" t="str">
        <f>HYPERLINK("http://examplebusiness.comwp-content/uploads/2014/04/Recipes-for-2013-2014-Spicy-Chicken-Tortilla-Soup3.png","http://examplebusiness.comwp-content/uploads/2014/04/Recipes-for-2013-2014-Spicy-Chicken-Tortilla-Soup3.png")</f>
        <v>http://examplebusiness.comwp-content/uploads/2014/04/Recipes-for-2013-2014-Spicy-Chicken-Tortilla-Soup3.png</v>
      </c>
      <c r="B673" s="34">
        <v>4</v>
      </c>
      <c r="C673" s="34">
        <v>0</v>
      </c>
      <c r="D673" s="34">
        <v>0</v>
      </c>
      <c r="E673" s="34">
        <v>0</v>
      </c>
      <c r="F673" s="34">
        <v>301</v>
      </c>
      <c r="G673" s="34">
        <v>0</v>
      </c>
      <c r="H673" s="34"/>
      <c r="I673" s="34" t="s">
        <v>1561</v>
      </c>
      <c r="J673" s="34" t="s">
        <v>1561</v>
      </c>
      <c r="K673" s="107" t="s">
        <v>1561</v>
      </c>
      <c r="L673" s="34" t="s">
        <v>1561</v>
      </c>
    </row>
    <row r="674" spans="1:12" ht="16.5" x14ac:dyDescent="0.35">
      <c r="A674" s="110" t="str">
        <f>HYPERLINK("http://examplebusiness.comwp-content/uploads/2014/07/earnings-season-dashboard-700x240.png","http://examplebusiness.comwp-content/uploads/2014/07/earnings-season-dashboard-700x240.png")</f>
        <v>http://examplebusiness.comwp-content/uploads/2014/07/earnings-season-dashboard-700x240.png</v>
      </c>
      <c r="B674" s="34">
        <v>4</v>
      </c>
      <c r="C674" s="34">
        <v>0</v>
      </c>
      <c r="D674" s="34">
        <v>0</v>
      </c>
      <c r="E674" s="34">
        <v>0</v>
      </c>
      <c r="F674" s="34">
        <v>301</v>
      </c>
      <c r="G674" s="34">
        <v>0</v>
      </c>
      <c r="H674" s="34"/>
      <c r="I674" s="34" t="s">
        <v>1561</v>
      </c>
      <c r="J674" s="34" t="s">
        <v>1561</v>
      </c>
      <c r="K674" s="107" t="s">
        <v>1561</v>
      </c>
      <c r="L674" s="34" t="s">
        <v>1561</v>
      </c>
    </row>
    <row r="675" spans="1:12" ht="16.5" x14ac:dyDescent="0.35">
      <c r="A675" s="110" t="str">
        <f>HYPERLINK("http://examplebusiness.comwp-content/uploads/2014/07/weekly-economic-commentary-220x130.png","http://examplebusiness.comwp-content/uploads/2014/07/weekly-economic-commentary-220x130.png")</f>
        <v>http://examplebusiness.comwp-content/uploads/2014/07/weekly-economic-commentary-220x130.png</v>
      </c>
      <c r="B675" s="34">
        <v>4</v>
      </c>
      <c r="C675" s="34">
        <v>0</v>
      </c>
      <c r="D675" s="34">
        <v>0</v>
      </c>
      <c r="E675" s="34">
        <v>0</v>
      </c>
      <c r="F675" s="34">
        <v>301</v>
      </c>
      <c r="G675" s="34">
        <v>0</v>
      </c>
      <c r="H675" s="34"/>
      <c r="I675" s="34" t="s">
        <v>1561</v>
      </c>
      <c r="J675" s="34" t="s">
        <v>1561</v>
      </c>
      <c r="K675" s="107" t="s">
        <v>1561</v>
      </c>
      <c r="L675" s="34" t="s">
        <v>1561</v>
      </c>
    </row>
    <row r="676" spans="1:12" ht="16.5" x14ac:dyDescent="0.35">
      <c r="A676" s="110" t="str">
        <f>HYPERLINK("http://examplebusiness.comwp-content/uploads/2014/07/weekly-economic-commentary-700x240.png","http://examplebusiness.comwp-content/uploads/2014/07/weekly-economic-commentary-700x240.png")</f>
        <v>http://examplebusiness.comwp-content/uploads/2014/07/weekly-economic-commentary-700x240.png</v>
      </c>
      <c r="B676" s="34">
        <v>4</v>
      </c>
      <c r="C676" s="34">
        <v>0</v>
      </c>
      <c r="D676" s="34">
        <v>0</v>
      </c>
      <c r="E676" s="34">
        <v>0</v>
      </c>
      <c r="F676" s="34">
        <v>301</v>
      </c>
      <c r="G676" s="34">
        <v>0</v>
      </c>
      <c r="H676" s="34"/>
      <c r="I676" s="34" t="s">
        <v>1561</v>
      </c>
      <c r="J676" s="34" t="s">
        <v>1561</v>
      </c>
      <c r="K676" s="107" t="s">
        <v>1561</v>
      </c>
      <c r="L676" s="34" t="s">
        <v>1561</v>
      </c>
    </row>
    <row r="677" spans="1:12" ht="16.5" x14ac:dyDescent="0.35">
      <c r="A677" s="110" t="str">
        <f>HYPERLINK("http://examplebusiness.comwp-content/uploads/2014/08/Bloomberg-data-08.07.14-220x130.png","http://examplebusiness.comwp-content/uploads/2014/08/Bloomberg-data-08.07.14-220x130.png")</f>
        <v>http://examplebusiness.comwp-content/uploads/2014/08/Bloomberg-data-08.07.14-220x130.png</v>
      </c>
      <c r="B677" s="34">
        <v>4</v>
      </c>
      <c r="C677" s="34">
        <v>0</v>
      </c>
      <c r="D677" s="34">
        <v>0</v>
      </c>
      <c r="E677" s="34">
        <v>0</v>
      </c>
      <c r="F677" s="34">
        <v>301</v>
      </c>
      <c r="G677" s="34">
        <v>0</v>
      </c>
      <c r="H677" s="34"/>
      <c r="I677" s="34" t="s">
        <v>1561</v>
      </c>
      <c r="J677" s="34" t="s">
        <v>1561</v>
      </c>
      <c r="K677" s="107" t="s">
        <v>1561</v>
      </c>
      <c r="L677" s="34" t="s">
        <v>1561</v>
      </c>
    </row>
    <row r="678" spans="1:12" ht="16.5" x14ac:dyDescent="0.35">
      <c r="A678" s="110" t="str">
        <f>HYPERLINK("http://examplebusiness.comwp-content/uploads/2014/08/Bloomberg-data-08.07.14-700x240.png","http://examplebusiness.comwp-content/uploads/2014/08/Bloomberg-data-08.07.14-700x240.png")</f>
        <v>http://examplebusiness.comwp-content/uploads/2014/08/Bloomberg-data-08.07.14-700x240.png</v>
      </c>
      <c r="B678" s="34">
        <v>4</v>
      </c>
      <c r="C678" s="34">
        <v>0</v>
      </c>
      <c r="D678" s="34">
        <v>0</v>
      </c>
      <c r="E678" s="34">
        <v>0</v>
      </c>
      <c r="F678" s="34">
        <v>301</v>
      </c>
      <c r="G678" s="34">
        <v>0</v>
      </c>
      <c r="H678" s="34"/>
      <c r="I678" s="34" t="s">
        <v>1561</v>
      </c>
      <c r="J678" s="34" t="s">
        <v>1561</v>
      </c>
      <c r="K678" s="107" t="s">
        <v>1561</v>
      </c>
      <c r="L678" s="34" t="s">
        <v>1561</v>
      </c>
    </row>
    <row r="679" spans="1:12" ht="16.5" x14ac:dyDescent="0.35">
      <c r="A679" s="110" t="str">
        <f>HYPERLINK("http://examplebusiness.comwp-content/uploads/2014/08/LEI-Provides-Early-Warning-of-Recession-220x130.png","http://examplebusiness.comwp-content/uploads/2014/08/LEI-Provides-Early-Warning-of-Recession-220x130.png")</f>
        <v>http://examplebusiness.comwp-content/uploads/2014/08/LEI-Provides-Early-Warning-of-Recession-220x130.png</v>
      </c>
      <c r="B679" s="34">
        <v>4</v>
      </c>
      <c r="C679" s="34">
        <v>0</v>
      </c>
      <c r="D679" s="34">
        <v>0</v>
      </c>
      <c r="E679" s="34">
        <v>0</v>
      </c>
      <c r="F679" s="34">
        <v>301</v>
      </c>
      <c r="G679" s="34">
        <v>0</v>
      </c>
      <c r="H679" s="34"/>
      <c r="I679" s="34" t="s">
        <v>1561</v>
      </c>
      <c r="J679" s="34" t="s">
        <v>1561</v>
      </c>
      <c r="K679" s="107" t="s">
        <v>1561</v>
      </c>
      <c r="L679" s="34" t="s">
        <v>1561</v>
      </c>
    </row>
    <row r="680" spans="1:12" ht="16.5" x14ac:dyDescent="0.35">
      <c r="A680" s="110" t="str">
        <f>HYPERLINK("http://examplebusiness.comwp-content/uploads/2014/08/LEI-Provides-Early-Warning-of-Recession-700x240.png","http://examplebusiness.comwp-content/uploads/2014/08/LEI-Provides-Early-Warning-of-Recession-700x240.png")</f>
        <v>http://examplebusiness.comwp-content/uploads/2014/08/LEI-Provides-Early-Warning-of-Recession-700x240.png</v>
      </c>
      <c r="B680" s="34">
        <v>4</v>
      </c>
      <c r="C680" s="34">
        <v>0</v>
      </c>
      <c r="D680" s="34">
        <v>0</v>
      </c>
      <c r="E680" s="34">
        <v>0</v>
      </c>
      <c r="F680" s="34">
        <v>301</v>
      </c>
      <c r="G680" s="34">
        <v>0</v>
      </c>
      <c r="H680" s="34"/>
      <c r="I680" s="34" t="s">
        <v>1561</v>
      </c>
      <c r="J680" s="34" t="s">
        <v>1561</v>
      </c>
      <c r="K680" s="107" t="s">
        <v>1561</v>
      </c>
      <c r="L680" s="34" t="s">
        <v>1561</v>
      </c>
    </row>
    <row r="681" spans="1:12" ht="16.5" x14ac:dyDescent="0.35">
      <c r="A681" s="110" t="str">
        <f>HYPERLINK("http://examplebusiness.comwp-content/uploads/2014/08/Weekly-Market-Commentary-08.25-220x130.png","http://examplebusiness.comwp-content/uploads/2014/08/Weekly-Market-Commentary-08.25-220x130.png")</f>
        <v>http://examplebusiness.comwp-content/uploads/2014/08/Weekly-Market-Commentary-08.25-220x130.png</v>
      </c>
      <c r="B681" s="34">
        <v>4</v>
      </c>
      <c r="C681" s="34">
        <v>0</v>
      </c>
      <c r="D681" s="34">
        <v>0</v>
      </c>
      <c r="E681" s="34">
        <v>0</v>
      </c>
      <c r="F681" s="34">
        <v>301</v>
      </c>
      <c r="G681" s="34">
        <v>0</v>
      </c>
      <c r="H681" s="34"/>
      <c r="I681" s="34" t="s">
        <v>1561</v>
      </c>
      <c r="J681" s="34" t="s">
        <v>1561</v>
      </c>
      <c r="K681" s="107" t="s">
        <v>1561</v>
      </c>
      <c r="L681" s="34" t="s">
        <v>1561</v>
      </c>
    </row>
    <row r="682" spans="1:12" ht="16.5" x14ac:dyDescent="0.35">
      <c r="A682" s="110" t="str">
        <f>HYPERLINK("http://examplebusiness.comwp-content/uploads/2014/08/Weekly-Market-Commentary-08.25-700x240.png","http://examplebusiness.comwp-content/uploads/2014/08/Weekly-Market-Commentary-08.25-700x240.png")</f>
        <v>http://examplebusiness.comwp-content/uploads/2014/08/Weekly-Market-Commentary-08.25-700x240.png</v>
      </c>
      <c r="B682" s="34">
        <v>4</v>
      </c>
      <c r="C682" s="34">
        <v>0</v>
      </c>
      <c r="D682" s="34">
        <v>0</v>
      </c>
      <c r="E682" s="34">
        <v>0</v>
      </c>
      <c r="F682" s="34">
        <v>301</v>
      </c>
      <c r="G682" s="34">
        <v>0</v>
      </c>
      <c r="H682" s="34"/>
      <c r="I682" s="34" t="s">
        <v>1561</v>
      </c>
      <c r="J682" s="34" t="s">
        <v>1561</v>
      </c>
      <c r="K682" s="107" t="s">
        <v>1561</v>
      </c>
      <c r="L682" s="34" t="s">
        <v>1561</v>
      </c>
    </row>
    <row r="683" spans="1:12" ht="16.5" x14ac:dyDescent="0.35">
      <c r="A683" s="110" t="str">
        <f>HYPERLINK("http://examplebusiness.comwp-content/uploads/2014/08/Weekly-Market-Commentary-Graph-700x240.png","http://examplebusiness.comwp-content/uploads/2014/08/Weekly-Market-Commentary-Graph-700x240.png")</f>
        <v>http://examplebusiness.comwp-content/uploads/2014/08/Weekly-Market-Commentary-Graph-700x240.png</v>
      </c>
      <c r="B683" s="34">
        <v>4</v>
      </c>
      <c r="C683" s="34">
        <v>0</v>
      </c>
      <c r="D683" s="34">
        <v>0</v>
      </c>
      <c r="E683" s="34">
        <v>0</v>
      </c>
      <c r="F683" s="34">
        <v>301</v>
      </c>
      <c r="G683" s="34">
        <v>0</v>
      </c>
      <c r="H683" s="34"/>
      <c r="I683" s="34" t="s">
        <v>1561</v>
      </c>
      <c r="J683" s="34" t="s">
        <v>1561</v>
      </c>
      <c r="K683" s="107" t="s">
        <v>1561</v>
      </c>
      <c r="L683" s="34" t="s">
        <v>1561</v>
      </c>
    </row>
    <row r="684" spans="1:12" ht="16.5" x14ac:dyDescent="0.35">
      <c r="A684" s="110" t="str">
        <f>HYPERLINK("http://examplebusiness.comwp-content/uploads/2014/09/Weekly-Market-Commentary-09.02-220x130.png","http://examplebusiness.comwp-content/uploads/2014/09/Weekly-Market-Commentary-09.02-220x130.png")</f>
        <v>http://examplebusiness.comwp-content/uploads/2014/09/Weekly-Market-Commentary-09.02-220x130.png</v>
      </c>
      <c r="B684" s="34">
        <v>4</v>
      </c>
      <c r="C684" s="34">
        <v>0</v>
      </c>
      <c r="D684" s="34">
        <v>0</v>
      </c>
      <c r="E684" s="34">
        <v>0</v>
      </c>
      <c r="F684" s="34">
        <v>301</v>
      </c>
      <c r="G684" s="34">
        <v>0</v>
      </c>
      <c r="H684" s="34"/>
      <c r="I684" s="34" t="s">
        <v>1561</v>
      </c>
      <c r="J684" s="34" t="s">
        <v>1561</v>
      </c>
      <c r="K684" s="107" t="s">
        <v>1561</v>
      </c>
      <c r="L684" s="34" t="s">
        <v>1561</v>
      </c>
    </row>
    <row r="685" spans="1:12" ht="16.5" x14ac:dyDescent="0.35">
      <c r="A685" s="110" t="str">
        <f>HYPERLINK("http://examplebusiness.comwp-content/uploads/2014/09/Weekly-Market-Commentary-09.08-220x130.png","http://examplebusiness.comwp-content/uploads/2014/09/Weekly-Market-Commentary-09.08-220x130.png")</f>
        <v>http://examplebusiness.comwp-content/uploads/2014/09/Weekly-Market-Commentary-09.08-220x130.png</v>
      </c>
      <c r="B685" s="34">
        <v>4</v>
      </c>
      <c r="C685" s="34">
        <v>0</v>
      </c>
      <c r="D685" s="34">
        <v>0</v>
      </c>
      <c r="E685" s="34">
        <v>0</v>
      </c>
      <c r="F685" s="34">
        <v>301</v>
      </c>
      <c r="G685" s="34">
        <v>0</v>
      </c>
      <c r="H685" s="34"/>
      <c r="I685" s="34" t="s">
        <v>1561</v>
      </c>
      <c r="J685" s="34" t="s">
        <v>1561</v>
      </c>
      <c r="K685" s="107" t="s">
        <v>1561</v>
      </c>
      <c r="L685" s="34" t="s">
        <v>1561</v>
      </c>
    </row>
    <row r="686" spans="1:12" ht="16.5" x14ac:dyDescent="0.35">
      <c r="A686" s="110" t="str">
        <f>HYPERLINK("http://examplebusiness.comwp-content/uploads/2014/09/Weekly-Market-Commentary-09.08-700x240.png","http://examplebusiness.comwp-content/uploads/2014/09/Weekly-Market-Commentary-09.08-700x240.png")</f>
        <v>http://examplebusiness.comwp-content/uploads/2014/09/Weekly-Market-Commentary-09.08-700x240.png</v>
      </c>
      <c r="B686" s="34">
        <v>4</v>
      </c>
      <c r="C686" s="34">
        <v>0</v>
      </c>
      <c r="D686" s="34">
        <v>0</v>
      </c>
      <c r="E686" s="34">
        <v>0</v>
      </c>
      <c r="F686" s="34">
        <v>301</v>
      </c>
      <c r="G686" s="34">
        <v>0</v>
      </c>
      <c r="H686" s="34"/>
      <c r="I686" s="34" t="s">
        <v>1561</v>
      </c>
      <c r="J686" s="34" t="s">
        <v>1561</v>
      </c>
      <c r="K686" s="107" t="s">
        <v>1561</v>
      </c>
      <c r="L686" s="34" t="s">
        <v>1561</v>
      </c>
    </row>
    <row r="687" spans="1:12" ht="16.5" x14ac:dyDescent="0.35">
      <c r="A687" s="110" t="str">
        <f>HYPERLINK("http://examplebusiness.comwp-content/uploads/2015/01/20th-Logo.png","http://examplebusiness.comwp-content/uploads/2015/01/20th-Logo.png")</f>
        <v>http://examplebusiness.comwp-content/uploads/2015/01/20th-Logo.png</v>
      </c>
      <c r="B687" s="34">
        <v>4</v>
      </c>
      <c r="C687" s="34">
        <v>0</v>
      </c>
      <c r="D687" s="34">
        <v>0</v>
      </c>
      <c r="E687" s="34">
        <v>0</v>
      </c>
      <c r="F687" s="34">
        <v>301</v>
      </c>
      <c r="G687" s="34">
        <v>0</v>
      </c>
      <c r="H687" s="34"/>
      <c r="I687" s="34" t="s">
        <v>1561</v>
      </c>
      <c r="J687" s="34" t="s">
        <v>1561</v>
      </c>
      <c r="K687" s="107" t="s">
        <v>1561</v>
      </c>
      <c r="L687" s="34" t="s">
        <v>1561</v>
      </c>
    </row>
    <row r="688" spans="1:12" ht="16.5" x14ac:dyDescent="0.35">
      <c r="A688" s="110" t="str">
        <f>HYPERLINK("http://examplebusiness.comwp-content/uploads/2015/01/investment-management-process.png","http://examplebusiness.comwp-content/uploads/2015/01/investment-management-process.png")</f>
        <v>http://examplebusiness.comwp-content/uploads/2015/01/investment-management-process.png</v>
      </c>
      <c r="B688" s="34">
        <v>4</v>
      </c>
      <c r="C688" s="34">
        <v>0</v>
      </c>
      <c r="D688" s="34">
        <v>0</v>
      </c>
      <c r="E688" s="34">
        <v>0</v>
      </c>
      <c r="F688" s="34">
        <v>301</v>
      </c>
      <c r="G688" s="34">
        <v>0</v>
      </c>
      <c r="H688" s="34"/>
      <c r="I688" s="34" t="s">
        <v>1561</v>
      </c>
      <c r="J688" s="34" t="s">
        <v>1561</v>
      </c>
      <c r="K688" s="107" t="s">
        <v>1561</v>
      </c>
      <c r="L688" s="34" t="s">
        <v>1561</v>
      </c>
    </row>
    <row r="689" spans="1:12" ht="16.5" x14ac:dyDescent="0.35">
      <c r="A689" s="110" t="str">
        <f>HYPERLINK("http://examplebusiness.comwp-content/uploads/2015/02/janets-donations-300x196.png","http://examplebusiness.comwp-content/uploads/2015/02/janets-donations-300x196.png")</f>
        <v>http://examplebusiness.comwp-content/uploads/2015/02/janets-donations-300x196.png</v>
      </c>
      <c r="B689" s="34">
        <v>4</v>
      </c>
      <c r="C689" s="34">
        <v>0</v>
      </c>
      <c r="D689" s="34">
        <v>0</v>
      </c>
      <c r="E689" s="34">
        <v>0</v>
      </c>
      <c r="F689" s="34">
        <v>301</v>
      </c>
      <c r="G689" s="34">
        <v>0</v>
      </c>
      <c r="H689" s="34"/>
      <c r="I689" s="34" t="s">
        <v>1561</v>
      </c>
      <c r="J689" s="34" t="s">
        <v>1561</v>
      </c>
      <c r="K689" s="107" t="s">
        <v>1561</v>
      </c>
      <c r="L689" s="34" t="s">
        <v>1561</v>
      </c>
    </row>
    <row r="690" spans="1:12" ht="16.5" x14ac:dyDescent="0.35">
      <c r="A690" s="110" t="str">
        <f>HYPERLINK("http://examplebusiness.comwp-content/uploads/2015/02/janets-donations.png","http://examplebusiness.comwp-content/uploads/2015/02/janets-donations.png")</f>
        <v>http://examplebusiness.comwp-content/uploads/2015/02/janets-donations.png</v>
      </c>
      <c r="B690" s="34">
        <v>4</v>
      </c>
      <c r="C690" s="34">
        <v>0</v>
      </c>
      <c r="D690" s="34">
        <v>0</v>
      </c>
      <c r="E690" s="34">
        <v>0</v>
      </c>
      <c r="F690" s="34">
        <v>301</v>
      </c>
      <c r="G690" s="34">
        <v>0</v>
      </c>
      <c r="H690" s="34"/>
      <c r="I690" s="34" t="s">
        <v>1561</v>
      </c>
      <c r="J690" s="34" t="s">
        <v>1561</v>
      </c>
      <c r="K690" s="107" t="s">
        <v>1561</v>
      </c>
      <c r="L690" s="34" t="s">
        <v>1561</v>
      </c>
    </row>
    <row r="691" spans="1:12" ht="16.5" x14ac:dyDescent="0.35">
      <c r="A691" s="110" t="str">
        <f>HYPERLINK("http://examplebusiness.comwp-content/uploads/2015/02/ryan-distributing-blankets-300x202.png","http://examplebusiness.comwp-content/uploads/2015/02/ryan-distributing-blankets-300x202.png")</f>
        <v>http://examplebusiness.comwp-content/uploads/2015/02/ryan-distributing-blankets-300x202.png</v>
      </c>
      <c r="B691" s="34">
        <v>4</v>
      </c>
      <c r="C691" s="34">
        <v>0</v>
      </c>
      <c r="D691" s="34">
        <v>0</v>
      </c>
      <c r="E691" s="34">
        <v>0</v>
      </c>
      <c r="F691" s="34">
        <v>301</v>
      </c>
      <c r="G691" s="34">
        <v>0</v>
      </c>
      <c r="H691" s="34"/>
      <c r="I691" s="34" t="s">
        <v>1561</v>
      </c>
      <c r="J691" s="34" t="s">
        <v>1561</v>
      </c>
      <c r="K691" s="107" t="s">
        <v>1561</v>
      </c>
      <c r="L691" s="34" t="s">
        <v>1561</v>
      </c>
    </row>
    <row r="692" spans="1:12" ht="16.5" x14ac:dyDescent="0.35">
      <c r="A692" s="110" t="str">
        <f>HYPERLINK("http://examplebusiness.comwp-content/uploads/2015/02/ryan-distributing-blankets.png","http://examplebusiness.comwp-content/uploads/2015/02/ryan-distributing-blankets.png")</f>
        <v>http://examplebusiness.comwp-content/uploads/2015/02/ryan-distributing-blankets.png</v>
      </c>
      <c r="B692" s="34">
        <v>4</v>
      </c>
      <c r="C692" s="34">
        <v>0</v>
      </c>
      <c r="D692" s="34">
        <v>0</v>
      </c>
      <c r="E692" s="34">
        <v>0</v>
      </c>
      <c r="F692" s="34">
        <v>301</v>
      </c>
      <c r="G692" s="34">
        <v>0</v>
      </c>
      <c r="H692" s="34"/>
      <c r="I692" s="34" t="s">
        <v>1561</v>
      </c>
      <c r="J692" s="34" t="s">
        <v>1561</v>
      </c>
      <c r="K692" s="107" t="s">
        <v>1561</v>
      </c>
      <c r="L692" s="34" t="s">
        <v>1561</v>
      </c>
    </row>
    <row r="693" spans="1:12" ht="16.5" x14ac:dyDescent="0.35">
      <c r="A693" s="110" t="str">
        <f>HYPERLINK("http://examplebusiness.comwp-content/uploads/2015/02/toms-food-donations-300x203.png","http://examplebusiness.comwp-content/uploads/2015/02/toms-food-donations-300x203.png")</f>
        <v>http://examplebusiness.comwp-content/uploads/2015/02/toms-food-donations-300x203.png</v>
      </c>
      <c r="B693" s="34">
        <v>4</v>
      </c>
      <c r="C693" s="34">
        <v>0</v>
      </c>
      <c r="D693" s="34">
        <v>0</v>
      </c>
      <c r="E693" s="34">
        <v>0</v>
      </c>
      <c r="F693" s="34">
        <v>301</v>
      </c>
      <c r="G693" s="34">
        <v>0</v>
      </c>
      <c r="H693" s="34"/>
      <c r="I693" s="34" t="s">
        <v>1561</v>
      </c>
      <c r="J693" s="34" t="s">
        <v>1561</v>
      </c>
      <c r="K693" s="107" t="s">
        <v>1561</v>
      </c>
      <c r="L693" s="34" t="s">
        <v>1561</v>
      </c>
    </row>
    <row r="694" spans="1:12" ht="16.5" x14ac:dyDescent="0.35">
      <c r="A694" s="110" t="str">
        <f>HYPERLINK("http://examplebusiness.comwp-content/uploads/2015/02/toms-food-donations.png","http://examplebusiness.comwp-content/uploads/2015/02/toms-food-donations.png")</f>
        <v>http://examplebusiness.comwp-content/uploads/2015/02/toms-food-donations.png</v>
      </c>
      <c r="B694" s="34">
        <v>4</v>
      </c>
      <c r="C694" s="34">
        <v>0</v>
      </c>
      <c r="D694" s="34">
        <v>0</v>
      </c>
      <c r="E694" s="34">
        <v>0</v>
      </c>
      <c r="F694" s="34">
        <v>301</v>
      </c>
      <c r="G694" s="34">
        <v>0</v>
      </c>
      <c r="H694" s="34"/>
      <c r="I694" s="34" t="s">
        <v>1561</v>
      </c>
      <c r="J694" s="34" t="s">
        <v>1561</v>
      </c>
      <c r="K694" s="107" t="s">
        <v>1561</v>
      </c>
      <c r="L694" s="34" t="s">
        <v>1561</v>
      </c>
    </row>
    <row r="695" spans="1:12" ht="16.5" x14ac:dyDescent="0.35">
      <c r="A695" s="110" t="str">
        <f>HYPERLINK("http://examplebusiness.comwp-content/uploads/2015/03/2015-IRA-Contribution-Amounts.png","http://examplebusiness.comwp-content/uploads/2015/03/2015-IRA-Contribution-Amounts.png")</f>
        <v>http://examplebusiness.comwp-content/uploads/2015/03/2015-IRA-Contribution-Amounts.png</v>
      </c>
      <c r="B695" s="34">
        <v>4</v>
      </c>
      <c r="C695" s="34">
        <v>0</v>
      </c>
      <c r="D695" s="34">
        <v>0</v>
      </c>
      <c r="E695" s="34">
        <v>0</v>
      </c>
      <c r="F695" s="34">
        <v>301</v>
      </c>
      <c r="G695" s="34">
        <v>0</v>
      </c>
      <c r="H695" s="34"/>
      <c r="I695" s="34" t="s">
        <v>1561</v>
      </c>
      <c r="J695" s="34" t="s">
        <v>1561</v>
      </c>
      <c r="K695" s="107" t="s">
        <v>1561</v>
      </c>
      <c r="L695" s="34" t="s">
        <v>1561</v>
      </c>
    </row>
    <row r="696" spans="1:12" ht="16.5" x14ac:dyDescent="0.35">
      <c r="A696" s="110" t="str">
        <f>HYPERLINK("http://examplebusiness.comwp-content/uploads/2015/04/MN-Estate-Tax-Planning-abc-Financial.png","http://examplebusiness.comwp-content/uploads/2015/04/MN-Estate-Tax-Planning-abc-Financial.png")</f>
        <v>http://examplebusiness.comwp-content/uploads/2015/04/MN-Estate-Tax-Planning-abc-Financial.png</v>
      </c>
      <c r="B696" s="34">
        <v>4</v>
      </c>
      <c r="C696" s="34">
        <v>0</v>
      </c>
      <c r="D696" s="34">
        <v>0</v>
      </c>
      <c r="E696" s="34">
        <v>0</v>
      </c>
      <c r="F696" s="34">
        <v>301</v>
      </c>
      <c r="G696" s="34">
        <v>0</v>
      </c>
      <c r="H696" s="34"/>
      <c r="I696" s="34" t="s">
        <v>1561</v>
      </c>
      <c r="J696" s="34" t="s">
        <v>1561</v>
      </c>
      <c r="K696" s="107" t="s">
        <v>1561</v>
      </c>
      <c r="L696" s="34" t="s">
        <v>1561</v>
      </c>
    </row>
    <row r="697" spans="1:12" ht="16.5" x14ac:dyDescent="0.35">
      <c r="A697" s="110" t="str">
        <f>HYPERLINK("http://examplebusiness.comwp-content/uploads/2015/07/Employee-life-skill-training-abc-Financial.png","http://examplebusiness.comwp-content/uploads/2015/07/Employee-life-skill-training-abc-Financial.png")</f>
        <v>http://examplebusiness.comwp-content/uploads/2015/07/Employee-life-skill-training-abc-Financial.png</v>
      </c>
      <c r="B697" s="34">
        <v>4</v>
      </c>
      <c r="C697" s="34">
        <v>0</v>
      </c>
      <c r="D697" s="34">
        <v>0</v>
      </c>
      <c r="E697" s="34">
        <v>0</v>
      </c>
      <c r="F697" s="34">
        <v>301</v>
      </c>
      <c r="G697" s="34">
        <v>0</v>
      </c>
      <c r="H697" s="34"/>
      <c r="I697" s="34" t="s">
        <v>1561</v>
      </c>
      <c r="J697" s="34" t="s">
        <v>1561</v>
      </c>
      <c r="K697" s="107" t="s">
        <v>1561</v>
      </c>
      <c r="L697" s="34" t="s">
        <v>1561</v>
      </c>
    </row>
    <row r="698" spans="1:12" ht="16.5" x14ac:dyDescent="0.35">
      <c r="A698" s="110" t="str">
        <f>HYPERLINK("http://www.examplebusiness.comfavicon.ico","http://www.examplebusiness.comfavicon.ico")</f>
        <v>http://www.examplebusiness.comfavicon.ico</v>
      </c>
      <c r="B698" s="34">
        <v>4</v>
      </c>
      <c r="C698" s="34">
        <v>0</v>
      </c>
      <c r="D698" s="34">
        <v>0</v>
      </c>
      <c r="E698" s="34">
        <v>0</v>
      </c>
      <c r="F698" s="34">
        <v>404</v>
      </c>
      <c r="G698" s="34">
        <v>0</v>
      </c>
      <c r="H698" s="34"/>
      <c r="I698" s="34" t="s">
        <v>1561</v>
      </c>
      <c r="J698" s="34" t="s">
        <v>1561</v>
      </c>
      <c r="K698" s="107" t="s">
        <v>1561</v>
      </c>
      <c r="L698" s="34" t="s">
        <v>1561</v>
      </c>
    </row>
    <row r="699" spans="1:12" ht="16.5" x14ac:dyDescent="0.35">
      <c r="A699" s="110" t="str">
        <f>HYPERLINK("http://examplebusiness.comfavicon.ico","http://examplebusiness.comfavicon.ico")</f>
        <v>http://examplebusiness.comfavicon.ico</v>
      </c>
      <c r="B699" s="34">
        <v>4</v>
      </c>
      <c r="C699" s="34">
        <v>0</v>
      </c>
      <c r="D699" s="34">
        <v>0</v>
      </c>
      <c r="E699" s="34">
        <v>0</v>
      </c>
      <c r="F699" s="34">
        <v>301</v>
      </c>
      <c r="G699" s="34">
        <v>0</v>
      </c>
      <c r="H699" s="34"/>
      <c r="I699" s="34" t="s">
        <v>1561</v>
      </c>
      <c r="J699" s="34" t="s">
        <v>1561</v>
      </c>
      <c r="K699" s="107" t="s">
        <v>1561</v>
      </c>
      <c r="L699" s="34" t="s">
        <v>1561</v>
      </c>
    </row>
    <row r="700" spans="1:12" ht="16.5" x14ac:dyDescent="0.35">
      <c r="A700" s="110" t="str">
        <f>HYPERLINK("http://examplebusiness.comwp-content/themes/finesse/images/favicon.ico","http://examplebusiness.comwp-content/themes/finesse/images/favicon.ico")</f>
        <v>http://examplebusiness.comwp-content/themes/finesse/images/favicon.ico</v>
      </c>
      <c r="B700" s="34">
        <v>4</v>
      </c>
      <c r="C700" s="34">
        <v>0</v>
      </c>
      <c r="D700" s="34">
        <v>0</v>
      </c>
      <c r="E700" s="34">
        <v>0</v>
      </c>
      <c r="F700" s="34">
        <v>301</v>
      </c>
      <c r="G700" s="34">
        <v>0</v>
      </c>
      <c r="H700" s="34"/>
      <c r="I700" s="34" t="s">
        <v>1561</v>
      </c>
      <c r="J700" s="34" t="s">
        <v>1561</v>
      </c>
      <c r="K700" s="107" t="s">
        <v>1561</v>
      </c>
      <c r="L700" s="34" t="s">
        <v>1561</v>
      </c>
    </row>
    <row r="701" spans="1:12" ht="16.5" x14ac:dyDescent="0.35">
      <c r="A701" s="110" t="str">
        <f>HYPERLINK("http://examplebusiness.comwp-content/plugins/contact-form-7/includes/css/styles.css?ver=3.5.3","http://examplebusiness.comwp-content/plugins/contact-form-7/includes/css/styles.css?ver=3.5.3")</f>
        <v>http://examplebusiness.comwp-content/plugins/contact-form-7/includes/css/styles.css?ver=3.5.3</v>
      </c>
      <c r="B701" s="34">
        <v>4</v>
      </c>
      <c r="C701" s="34">
        <v>0</v>
      </c>
      <c r="D701" s="34">
        <v>0</v>
      </c>
      <c r="E701" s="34">
        <v>0</v>
      </c>
      <c r="F701" s="34">
        <v>301</v>
      </c>
      <c r="G701" s="34">
        <v>0</v>
      </c>
      <c r="H701" s="34"/>
      <c r="I701" s="34" t="s">
        <v>1561</v>
      </c>
      <c r="J701" s="34" t="s">
        <v>1561</v>
      </c>
      <c r="K701" s="107" t="s">
        <v>1561</v>
      </c>
      <c r="L701" s="34" t="s">
        <v>1561</v>
      </c>
    </row>
    <row r="702" spans="1:12" ht="16.5" x14ac:dyDescent="0.35">
      <c r="A702" s="110" t="str">
        <f>HYPERLINK("http://examplebusiness.comwp-content/plugins/contact-form-7/includes/css/styles.css?ver=4.2.2","http://examplebusiness.comwp-content/plugins/contact-form-7/includes/css/styles.css?ver=4.2.2")</f>
        <v>http://examplebusiness.comwp-content/plugins/contact-form-7/includes/css/styles.css?ver=4.2.2</v>
      </c>
      <c r="B702" s="34">
        <v>4</v>
      </c>
      <c r="C702" s="34">
        <v>0</v>
      </c>
      <c r="D702" s="34">
        <v>0</v>
      </c>
      <c r="E702" s="34">
        <v>0</v>
      </c>
      <c r="F702" s="34">
        <v>301</v>
      </c>
      <c r="G702" s="34">
        <v>0</v>
      </c>
      <c r="H702" s="34"/>
      <c r="I702" s="34" t="s">
        <v>1561</v>
      </c>
      <c r="J702" s="34" t="s">
        <v>1561</v>
      </c>
      <c r="K702" s="107" t="s">
        <v>1561</v>
      </c>
      <c r="L702" s="34" t="s">
        <v>1561</v>
      </c>
    </row>
    <row r="703" spans="1:12" ht="16.5" x14ac:dyDescent="0.35">
      <c r="A703" s="110" t="str">
        <f>HYPERLINK("http://examplebusiness.comwp-content/plugins/contact-form-7/includes/css/styles.css?ver=4.5","http://examplebusiness.comwp-content/plugins/contact-form-7/includes/css/styles.css?ver=4.5")</f>
        <v>http://examplebusiness.comwp-content/plugins/contact-form-7/includes/css/styles.css?ver=4.5</v>
      </c>
      <c r="B703" s="34">
        <v>4</v>
      </c>
      <c r="C703" s="34">
        <v>0</v>
      </c>
      <c r="D703" s="34">
        <v>0</v>
      </c>
      <c r="E703" s="34">
        <v>0</v>
      </c>
      <c r="F703" s="34">
        <v>301</v>
      </c>
      <c r="G703" s="34">
        <v>0</v>
      </c>
      <c r="H703" s="34"/>
      <c r="I703" s="34" t="s">
        <v>1561</v>
      </c>
      <c r="J703" s="34" t="s">
        <v>1561</v>
      </c>
      <c r="K703" s="107" t="s">
        <v>1561</v>
      </c>
      <c r="L703" s="34" t="s">
        <v>1561</v>
      </c>
    </row>
    <row r="704" spans="1:12" ht="16.5" x14ac:dyDescent="0.35">
      <c r="A704" s="110" t="str">
        <f>HYPERLINK("http://examplebusiness.comwp-content/plugins/events-manager/includes/css/events_manager.css?ver=5.52","http://examplebusiness.comwp-content/plugins/events-manager/includes/css/events_manager.css?ver=5.52")</f>
        <v>http://examplebusiness.comwp-content/plugins/events-manager/includes/css/events_manager.css?ver=5.52</v>
      </c>
      <c r="B704" s="34">
        <v>4</v>
      </c>
      <c r="C704" s="34">
        <v>0</v>
      </c>
      <c r="D704" s="34">
        <v>0</v>
      </c>
      <c r="E704" s="34">
        <v>0</v>
      </c>
      <c r="F704" s="34">
        <v>301</v>
      </c>
      <c r="G704" s="34">
        <v>0</v>
      </c>
      <c r="H704" s="34"/>
      <c r="I704" s="34" t="s">
        <v>1561</v>
      </c>
      <c r="J704" s="34" t="s">
        <v>1561</v>
      </c>
      <c r="K704" s="107" t="s">
        <v>1561</v>
      </c>
      <c r="L704" s="34" t="s">
        <v>1561</v>
      </c>
    </row>
    <row r="705" spans="1:12" ht="16.5" x14ac:dyDescent="0.35">
      <c r="A705" s="110" t="str">
        <f>HYPERLINK("http://examplebusiness.comwp-content/plugins/events-manager/includes/css/events_manager.css?ver=5.6","http://examplebusiness.comwp-content/plugins/events-manager/includes/css/events_manager.css?ver=5.6")</f>
        <v>http://examplebusiness.comwp-content/plugins/events-manager/includes/css/events_manager.css?ver=5.6</v>
      </c>
      <c r="B705" s="34">
        <v>4</v>
      </c>
      <c r="C705" s="34">
        <v>0</v>
      </c>
      <c r="D705" s="34">
        <v>0</v>
      </c>
      <c r="E705" s="34">
        <v>0</v>
      </c>
      <c r="F705" s="34">
        <v>301</v>
      </c>
      <c r="G705" s="34">
        <v>0</v>
      </c>
      <c r="H705" s="34"/>
      <c r="I705" s="34" t="s">
        <v>1561</v>
      </c>
      <c r="J705" s="34" t="s">
        <v>1561</v>
      </c>
      <c r="K705" s="107" t="s">
        <v>1561</v>
      </c>
      <c r="L705" s="34" t="s">
        <v>1561</v>
      </c>
    </row>
    <row r="706" spans="1:12" ht="16.5" x14ac:dyDescent="0.35">
      <c r="A706" s="110" t="str">
        <f>HYPERLINK("http://examplebusiness.comwp-content/plugins/events-manager/includes/css/events_manager.css?ver=5.64","http://examplebusiness.comwp-content/plugins/events-manager/includes/css/events_manager.css?ver=5.64")</f>
        <v>http://examplebusiness.comwp-content/plugins/events-manager/includes/css/events_manager.css?ver=5.64</v>
      </c>
      <c r="B706" s="34">
        <v>4</v>
      </c>
      <c r="C706" s="34">
        <v>0</v>
      </c>
      <c r="D706" s="34">
        <v>0</v>
      </c>
      <c r="E706" s="34">
        <v>0</v>
      </c>
      <c r="F706" s="34">
        <v>301</v>
      </c>
      <c r="G706" s="34">
        <v>0</v>
      </c>
      <c r="H706" s="34"/>
      <c r="I706" s="34" t="s">
        <v>1561</v>
      </c>
      <c r="J706" s="34" t="s">
        <v>1561</v>
      </c>
      <c r="K706" s="107" t="s">
        <v>1561</v>
      </c>
      <c r="L706" s="34" t="s">
        <v>1561</v>
      </c>
    </row>
    <row r="707" spans="1:12" ht="16.5" x14ac:dyDescent="0.35">
      <c r="A707" s="110" t="str">
        <f>HYPERLINK("http://examplebusiness.comwp-content/plugins/wordpress-posts-timeline/css/timeline.css?ver=1.0.0","http://examplebusiness.comwp-content/plugins/wordpress-posts-timeline/css/timeline.css?ver=1.0.0")</f>
        <v>http://examplebusiness.comwp-content/plugins/wordpress-posts-timeline/css/timeline.css?ver=1.0.0</v>
      </c>
      <c r="B707" s="34">
        <v>4</v>
      </c>
      <c r="C707" s="34">
        <v>0</v>
      </c>
      <c r="D707" s="34">
        <v>0</v>
      </c>
      <c r="E707" s="34">
        <v>0</v>
      </c>
      <c r="F707" s="34">
        <v>301</v>
      </c>
      <c r="G707" s="34">
        <v>0</v>
      </c>
      <c r="H707" s="34"/>
      <c r="I707" s="34" t="s">
        <v>1561</v>
      </c>
      <c r="J707" s="34" t="s">
        <v>1561</v>
      </c>
      <c r="K707" s="107" t="s">
        <v>1561</v>
      </c>
      <c r="L707" s="34" t="s">
        <v>1561</v>
      </c>
    </row>
    <row r="708" spans="1:12" ht="16.5" x14ac:dyDescent="0.35">
      <c r="A708" s="110" t="str">
        <f>HYPERLINK("http://examplebusiness.comwp-content/themes/childoffinesse/style.css?ver=4.0","http://examplebusiness.comwp-content/themes/childoffinesse/style.css?ver=4.0")</f>
        <v>http://examplebusiness.comwp-content/themes/childoffinesse/style.css?ver=4.0</v>
      </c>
      <c r="B708" s="34">
        <v>4</v>
      </c>
      <c r="C708" s="34">
        <v>0</v>
      </c>
      <c r="D708" s="34">
        <v>0</v>
      </c>
      <c r="E708" s="34">
        <v>0</v>
      </c>
      <c r="F708" s="34">
        <v>301</v>
      </c>
      <c r="G708" s="34">
        <v>0</v>
      </c>
      <c r="H708" s="34"/>
      <c r="I708" s="34" t="s">
        <v>1561</v>
      </c>
      <c r="J708" s="34" t="s">
        <v>1561</v>
      </c>
      <c r="K708" s="107" t="s">
        <v>1561</v>
      </c>
      <c r="L708" s="34" t="s">
        <v>1561</v>
      </c>
    </row>
    <row r="709" spans="1:12" ht="16.5" x14ac:dyDescent="0.35">
      <c r="A709" s="110" t="str">
        <f>HYPERLINK("http://examplebusiness.comwp-content/themes/childoffinesse/style.css?ver=4.3","http://examplebusiness.comwp-content/themes/childoffinesse/style.css?ver=4.3")</f>
        <v>http://examplebusiness.comwp-content/themes/childoffinesse/style.css?ver=4.3</v>
      </c>
      <c r="B709" s="34">
        <v>4</v>
      </c>
      <c r="C709" s="34">
        <v>0</v>
      </c>
      <c r="D709" s="34">
        <v>0</v>
      </c>
      <c r="E709" s="34">
        <v>0</v>
      </c>
      <c r="F709" s="34">
        <v>301</v>
      </c>
      <c r="G709" s="34">
        <v>0</v>
      </c>
      <c r="H709" s="34"/>
      <c r="I709" s="34" t="s">
        <v>1561</v>
      </c>
      <c r="J709" s="34" t="s">
        <v>1561</v>
      </c>
      <c r="K709" s="107" t="s">
        <v>1561</v>
      </c>
      <c r="L709" s="34" t="s">
        <v>1561</v>
      </c>
    </row>
    <row r="710" spans="1:12" ht="16.5" x14ac:dyDescent="0.35">
      <c r="A710" s="110" t="str">
        <f>HYPERLINK("http://examplebusiness.comwp-content/themes/childoffinesse/style.css?ver=4.4.2","http://examplebusiness.comwp-content/themes/childoffinesse/style.css?ver=4.4.2")</f>
        <v>http://examplebusiness.comwp-content/themes/childoffinesse/style.css?ver=4.4.2</v>
      </c>
      <c r="B710" s="34">
        <v>4</v>
      </c>
      <c r="C710" s="34">
        <v>0</v>
      </c>
      <c r="D710" s="34">
        <v>0</v>
      </c>
      <c r="E710" s="34">
        <v>0</v>
      </c>
      <c r="F710" s="34">
        <v>301</v>
      </c>
      <c r="G710" s="34">
        <v>0</v>
      </c>
      <c r="H710" s="34"/>
      <c r="I710" s="34" t="s">
        <v>1561</v>
      </c>
      <c r="J710" s="34" t="s">
        <v>1561</v>
      </c>
      <c r="K710" s="107" t="s">
        <v>1561</v>
      </c>
      <c r="L710" s="34" t="s">
        <v>1561</v>
      </c>
    </row>
    <row r="711" spans="1:12" ht="16.5" x14ac:dyDescent="0.35">
      <c r="A711" s="110" t="str">
        <f>HYPERLINK("http://examplebusiness.comwp-content/themes/finesse/css/colors/green.css?ver=4.0","http://examplebusiness.comwp-content/themes/finesse/css/colors/green.css?ver=4.0")</f>
        <v>http://examplebusiness.comwp-content/themes/finesse/css/colors/green.css?ver=4.0</v>
      </c>
      <c r="B711" s="34">
        <v>4</v>
      </c>
      <c r="C711" s="34">
        <v>0</v>
      </c>
      <c r="D711" s="34">
        <v>0</v>
      </c>
      <c r="E711" s="34">
        <v>0</v>
      </c>
      <c r="F711" s="34">
        <v>301</v>
      </c>
      <c r="G711" s="34">
        <v>0</v>
      </c>
      <c r="H711" s="34"/>
      <c r="I711" s="34" t="s">
        <v>1561</v>
      </c>
      <c r="J711" s="34" t="s">
        <v>1561</v>
      </c>
      <c r="K711" s="107" t="s">
        <v>1561</v>
      </c>
      <c r="L711" s="34" t="s">
        <v>1561</v>
      </c>
    </row>
    <row r="712" spans="1:12" ht="16.5" x14ac:dyDescent="0.35">
      <c r="A712" s="110" t="str">
        <f>HYPERLINK("http://examplebusiness.comwp-content/themes/finesse/css/colors/green.css?ver=4.3","http://examplebusiness.comwp-content/themes/finesse/css/colors/green.css?ver=4.3")</f>
        <v>http://examplebusiness.comwp-content/themes/finesse/css/colors/green.css?ver=4.3</v>
      </c>
      <c r="B712" s="34">
        <v>4</v>
      </c>
      <c r="C712" s="34">
        <v>0</v>
      </c>
      <c r="D712" s="34">
        <v>0</v>
      </c>
      <c r="E712" s="34">
        <v>0</v>
      </c>
      <c r="F712" s="34">
        <v>301</v>
      </c>
      <c r="G712" s="34">
        <v>0</v>
      </c>
      <c r="H712" s="34"/>
      <c r="I712" s="34" t="s">
        <v>1561</v>
      </c>
      <c r="J712" s="34" t="s">
        <v>1561</v>
      </c>
      <c r="K712" s="107" t="s">
        <v>1561</v>
      </c>
      <c r="L712" s="34" t="s">
        <v>1561</v>
      </c>
    </row>
    <row r="713" spans="1:12" ht="16.5" x14ac:dyDescent="0.35">
      <c r="A713" s="110" t="str">
        <f>HYPERLINK("http://examplebusiness.comwp-content/themes/finesse/css/colors/green.css?ver=4.4.2","http://examplebusiness.comwp-content/themes/finesse/css/colors/green.css?ver=4.4.2")</f>
        <v>http://examplebusiness.comwp-content/themes/finesse/css/colors/green.css?ver=4.4.2</v>
      </c>
      <c r="B713" s="34">
        <v>4</v>
      </c>
      <c r="C713" s="34">
        <v>0</v>
      </c>
      <c r="D713" s="34">
        <v>0</v>
      </c>
      <c r="E713" s="34">
        <v>0</v>
      </c>
      <c r="F713" s="34">
        <v>301</v>
      </c>
      <c r="G713" s="34">
        <v>0</v>
      </c>
      <c r="H713" s="34"/>
      <c r="I713" s="34" t="s">
        <v>1561</v>
      </c>
      <c r="J713" s="34" t="s">
        <v>1561</v>
      </c>
      <c r="K713" s="107" t="s">
        <v>1561</v>
      </c>
      <c r="L713" s="34" t="s">
        <v>1561</v>
      </c>
    </row>
    <row r="714" spans="1:12" ht="16.5" x14ac:dyDescent="0.35">
      <c r="A714" s="110" t="str">
        <f>HYPERLINK("http://examplebusiness.comwp-content/themes/finesse/css/flexslider.css","http://examplebusiness.comwp-content/themes/finesse/css/flexslider.css")</f>
        <v>http://examplebusiness.comwp-content/themes/finesse/css/flexslider.css</v>
      </c>
      <c r="B714" s="34">
        <v>4</v>
      </c>
      <c r="C714" s="34">
        <v>0</v>
      </c>
      <c r="D714" s="34">
        <v>0</v>
      </c>
      <c r="E714" s="34">
        <v>0</v>
      </c>
      <c r="F714" s="34">
        <v>301</v>
      </c>
      <c r="G714" s="34">
        <v>0</v>
      </c>
      <c r="H714" s="34"/>
      <c r="I714" s="34" t="s">
        <v>1561</v>
      </c>
      <c r="J714" s="34" t="s">
        <v>1561</v>
      </c>
      <c r="K714" s="107" t="s">
        <v>1561</v>
      </c>
      <c r="L714" s="34" t="s">
        <v>1561</v>
      </c>
    </row>
    <row r="715" spans="1:12" ht="16.5" x14ac:dyDescent="0.35">
      <c r="A715" s="110" t="str">
        <f>HYPERLINK("http://examplebusiness.comwp-content/themes/finesse/css/html5-reset.css","http://examplebusiness.comwp-content/themes/finesse/css/html5-reset.css")</f>
        <v>http://examplebusiness.comwp-content/themes/finesse/css/html5-reset.css</v>
      </c>
      <c r="B715" s="34">
        <v>4</v>
      </c>
      <c r="C715" s="34">
        <v>0</v>
      </c>
      <c r="D715" s="34">
        <v>0</v>
      </c>
      <c r="E715" s="34">
        <v>0</v>
      </c>
      <c r="F715" s="34">
        <v>301</v>
      </c>
      <c r="G715" s="34">
        <v>0</v>
      </c>
      <c r="H715" s="34"/>
      <c r="I715" s="34" t="s">
        <v>1561</v>
      </c>
      <c r="J715" s="34" t="s">
        <v>1561</v>
      </c>
      <c r="K715" s="107" t="s">
        <v>1561</v>
      </c>
      <c r="L715" s="34" t="s">
        <v>1561</v>
      </c>
    </row>
    <row r="716" spans="1:12" ht="16.5" x14ac:dyDescent="0.35">
      <c r="A716" s="110" t="str">
        <f>HYPERLINK("http://examplebusiness.comwp-content/themes/finesse/css/ie.css","http://examplebusiness.comwp-content/themes/finesse/css/ie.css")</f>
        <v>http://examplebusiness.comwp-content/themes/finesse/css/ie.css</v>
      </c>
      <c r="B716" s="34">
        <v>4</v>
      </c>
      <c r="C716" s="34">
        <v>0</v>
      </c>
      <c r="D716" s="34">
        <v>0</v>
      </c>
      <c r="E716" s="34">
        <v>0</v>
      </c>
      <c r="F716" s="34">
        <v>301</v>
      </c>
      <c r="G716" s="34">
        <v>0</v>
      </c>
      <c r="H716" s="34"/>
      <c r="I716" s="34" t="s">
        <v>1561</v>
      </c>
      <c r="J716" s="34" t="s">
        <v>1561</v>
      </c>
      <c r="K716" s="107" t="s">
        <v>1561</v>
      </c>
      <c r="L716" s="34" t="s">
        <v>1561</v>
      </c>
    </row>
    <row r="717" spans="1:12" ht="16.5" x14ac:dyDescent="0.35">
      <c r="A717" s="110" t="str">
        <f>HYPERLINK("http://examplebusiness.comwp-content/themes/finesse/css/ie.css?ver=3.0","http://examplebusiness.comwp-content/themes/finesse/css/ie.css?ver=3.0")</f>
        <v>http://examplebusiness.comwp-content/themes/finesse/css/ie.css?ver=3.0</v>
      </c>
      <c r="B717" s="34">
        <v>4</v>
      </c>
      <c r="C717" s="34">
        <v>0</v>
      </c>
      <c r="D717" s="34">
        <v>0</v>
      </c>
      <c r="E717" s="34">
        <v>0</v>
      </c>
      <c r="F717" s="34">
        <v>301</v>
      </c>
      <c r="G717" s="34">
        <v>0</v>
      </c>
      <c r="H717" s="34"/>
      <c r="I717" s="34" t="s">
        <v>1561</v>
      </c>
      <c r="J717" s="34" t="s">
        <v>1561</v>
      </c>
      <c r="K717" s="107" t="s">
        <v>1561</v>
      </c>
      <c r="L717" s="34" t="s">
        <v>1561</v>
      </c>
    </row>
    <row r="718" spans="1:12" ht="16.5" x14ac:dyDescent="0.35">
      <c r="A718" s="110" t="str">
        <f>HYPERLINK("http://examplebusiness.comwp-content/themes/finesse/css/jquery-ui-1.10.4.custom.css?ver=4.0","http://examplebusiness.comwp-content/themes/finesse/css/jquery-ui-1.10.4.custom.css?ver=4.0")</f>
        <v>http://examplebusiness.comwp-content/themes/finesse/css/jquery-ui-1.10.4.custom.css?ver=4.0</v>
      </c>
      <c r="B718" s="34">
        <v>4</v>
      </c>
      <c r="C718" s="34">
        <v>0</v>
      </c>
      <c r="D718" s="34">
        <v>0</v>
      </c>
      <c r="E718" s="34">
        <v>0</v>
      </c>
      <c r="F718" s="34">
        <v>301</v>
      </c>
      <c r="G718" s="34">
        <v>0</v>
      </c>
      <c r="H718" s="34"/>
      <c r="I718" s="34" t="s">
        <v>1561</v>
      </c>
      <c r="J718" s="34" t="s">
        <v>1561</v>
      </c>
      <c r="K718" s="107" t="s">
        <v>1561</v>
      </c>
      <c r="L718" s="34" t="s">
        <v>1561</v>
      </c>
    </row>
    <row r="719" spans="1:12" ht="16.5" x14ac:dyDescent="0.35">
      <c r="A719" s="110" t="str">
        <f>HYPERLINK("http://examplebusiness.comwp-content/themes/finesse/css/jquery-ui-1.10.4.custom.css?ver=4.3","http://examplebusiness.comwp-content/themes/finesse/css/jquery-ui-1.10.4.custom.css?ver=4.3")</f>
        <v>http://examplebusiness.comwp-content/themes/finesse/css/jquery-ui-1.10.4.custom.css?ver=4.3</v>
      </c>
      <c r="B719" s="34">
        <v>4</v>
      </c>
      <c r="C719" s="34">
        <v>0</v>
      </c>
      <c r="D719" s="34">
        <v>0</v>
      </c>
      <c r="E719" s="34">
        <v>0</v>
      </c>
      <c r="F719" s="34">
        <v>301</v>
      </c>
      <c r="G719" s="34">
        <v>0</v>
      </c>
      <c r="H719" s="34"/>
      <c r="I719" s="34" t="s">
        <v>1561</v>
      </c>
      <c r="J719" s="34" t="s">
        <v>1561</v>
      </c>
      <c r="K719" s="107" t="s">
        <v>1561</v>
      </c>
      <c r="L719" s="34" t="s">
        <v>1561</v>
      </c>
    </row>
    <row r="720" spans="1:12" ht="16.5" x14ac:dyDescent="0.35">
      <c r="A720" s="110" t="str">
        <f>HYPERLINK("http://examplebusiness.comwp-content/themes/finesse/css/jquery-ui-1.10.4.custom.css?ver=4.4.2","http://examplebusiness.comwp-content/themes/finesse/css/jquery-ui-1.10.4.custom.css?ver=4.4.2")</f>
        <v>http://examplebusiness.comwp-content/themes/finesse/css/jquery-ui-1.10.4.custom.css?ver=4.4.2</v>
      </c>
      <c r="B720" s="34">
        <v>4</v>
      </c>
      <c r="C720" s="34">
        <v>0</v>
      </c>
      <c r="D720" s="34">
        <v>0</v>
      </c>
      <c r="E720" s="34">
        <v>0</v>
      </c>
      <c r="F720" s="34">
        <v>301</v>
      </c>
      <c r="G720" s="34">
        <v>0</v>
      </c>
      <c r="H720" s="34"/>
      <c r="I720" s="34" t="s">
        <v>1561</v>
      </c>
      <c r="J720" s="34" t="s">
        <v>1561</v>
      </c>
      <c r="K720" s="107" t="s">
        <v>1561</v>
      </c>
      <c r="L720" s="34" t="s">
        <v>1561</v>
      </c>
    </row>
    <row r="721" spans="1:12" ht="16.5" x14ac:dyDescent="0.35">
      <c r="A721" s="110" t="str">
        <f>HYPERLINK("http://examplebusiness.comwp-content/themes/finesse/css/jquery.fancybox.css","http://examplebusiness.comwp-content/themes/finesse/css/jquery.fancybox.css")</f>
        <v>http://examplebusiness.comwp-content/themes/finesse/css/jquery.fancybox.css</v>
      </c>
      <c r="B721" s="34">
        <v>4</v>
      </c>
      <c r="C721" s="34">
        <v>0</v>
      </c>
      <c r="D721" s="34">
        <v>0</v>
      </c>
      <c r="E721" s="34">
        <v>0</v>
      </c>
      <c r="F721" s="34">
        <v>301</v>
      </c>
      <c r="G721" s="34">
        <v>0</v>
      </c>
      <c r="H721" s="34"/>
      <c r="I721" s="34" t="s">
        <v>1561</v>
      </c>
      <c r="J721" s="34" t="s">
        <v>1561</v>
      </c>
      <c r="K721" s="107" t="s">
        <v>1561</v>
      </c>
      <c r="L721" s="34" t="s">
        <v>1561</v>
      </c>
    </row>
    <row r="722" spans="1:12" ht="16.5" x14ac:dyDescent="0.35">
      <c r="A722" s="110" t="str">
        <f>HYPERLINK("http://examplebusiness.comwp-content/themes/finesse/css/mediaelementplayer.css","http://examplebusiness.comwp-content/themes/finesse/css/mediaelementplayer.css")</f>
        <v>http://examplebusiness.comwp-content/themes/finesse/css/mediaelementplayer.css</v>
      </c>
      <c r="B722" s="34">
        <v>4</v>
      </c>
      <c r="C722" s="34">
        <v>0</v>
      </c>
      <c r="D722" s="34">
        <v>0</v>
      </c>
      <c r="E722" s="34">
        <v>0</v>
      </c>
      <c r="F722" s="34">
        <v>301</v>
      </c>
      <c r="G722" s="34">
        <v>0</v>
      </c>
      <c r="H722" s="34"/>
      <c r="I722" s="34" t="s">
        <v>1561</v>
      </c>
      <c r="J722" s="34" t="s">
        <v>1561</v>
      </c>
      <c r="K722" s="107" t="s">
        <v>1561</v>
      </c>
      <c r="L722" s="34" t="s">
        <v>1561</v>
      </c>
    </row>
    <row r="723" spans="1:12" ht="16.5" x14ac:dyDescent="0.35">
      <c r="A723" s="110" t="str">
        <f>HYPERLINK("http://examplebusiness.comwp-content/themes/finesse/css/polyglot-language-switcher.css","http://examplebusiness.comwp-content/themes/finesse/css/polyglot-language-switcher.css")</f>
        <v>http://examplebusiness.comwp-content/themes/finesse/css/polyglot-language-switcher.css</v>
      </c>
      <c r="B723" s="34">
        <v>4</v>
      </c>
      <c r="C723" s="34">
        <v>0</v>
      </c>
      <c r="D723" s="34">
        <v>0</v>
      </c>
      <c r="E723" s="34">
        <v>0</v>
      </c>
      <c r="F723" s="34">
        <v>301</v>
      </c>
      <c r="G723" s="34">
        <v>0</v>
      </c>
      <c r="H723" s="34"/>
      <c r="I723" s="34" t="s">
        <v>1561</v>
      </c>
      <c r="J723" s="34" t="s">
        <v>1561</v>
      </c>
      <c r="K723" s="107" t="s">
        <v>1561</v>
      </c>
      <c r="L723" s="34" t="s">
        <v>1561</v>
      </c>
    </row>
    <row r="724" spans="1:12" ht="16.5" x14ac:dyDescent="0.35">
      <c r="A724" s="110" t="str">
        <f>HYPERLINK("http://examplebusiness.comwp-content/themes/finesse/css/shortcodes.css","http://examplebusiness.comwp-content/themes/finesse/css/shortcodes.css")</f>
        <v>http://examplebusiness.comwp-content/themes/finesse/css/shortcodes.css</v>
      </c>
      <c r="B724" s="34">
        <v>4</v>
      </c>
      <c r="C724" s="34">
        <v>0</v>
      </c>
      <c r="D724" s="34">
        <v>0</v>
      </c>
      <c r="E724" s="34">
        <v>0</v>
      </c>
      <c r="F724" s="34">
        <v>301</v>
      </c>
      <c r="G724" s="34">
        <v>0</v>
      </c>
      <c r="H724" s="34"/>
      <c r="I724" s="34" t="s">
        <v>1561</v>
      </c>
      <c r="J724" s="34" t="s">
        <v>1561</v>
      </c>
      <c r="K724" s="107" t="s">
        <v>1561</v>
      </c>
      <c r="L724" s="34" t="s">
        <v>1561</v>
      </c>
    </row>
    <row r="725" spans="1:12" ht="16.5" x14ac:dyDescent="0.35">
      <c r="A725" s="110" t="str">
        <f>HYPERLINK("http://examplebusiness.comwp-content/themes/finesse/custom.css","http://examplebusiness.comwp-content/themes/finesse/custom.css")</f>
        <v>http://examplebusiness.comwp-content/themes/finesse/custom.css</v>
      </c>
      <c r="B725" s="34">
        <v>4</v>
      </c>
      <c r="C725" s="34">
        <v>0</v>
      </c>
      <c r="D725" s="34">
        <v>0</v>
      </c>
      <c r="E725" s="34">
        <v>0</v>
      </c>
      <c r="F725" s="34">
        <v>301</v>
      </c>
      <c r="G725" s="34">
        <v>0</v>
      </c>
      <c r="H725" s="34"/>
      <c r="I725" s="34" t="s">
        <v>1561</v>
      </c>
      <c r="J725" s="34" t="s">
        <v>1561</v>
      </c>
      <c r="K725" s="107" t="s">
        <v>1561</v>
      </c>
      <c r="L725" s="34" t="s">
        <v>1561</v>
      </c>
    </row>
    <row r="726" spans="1:12" ht="16.5" x14ac:dyDescent="0.35">
      <c r="A726" s="110" t="str">
        <f>HYPERLINK("http://examplebusiness.comwp-content/themes/finesse/custom.css?ver=3.0","http://examplebusiness.comwp-content/themes/finesse/custom.css?ver=3.0")</f>
        <v>http://examplebusiness.comwp-content/themes/finesse/custom.css?ver=3.0</v>
      </c>
      <c r="B726" s="34">
        <v>4</v>
      </c>
      <c r="C726" s="34">
        <v>0</v>
      </c>
      <c r="D726" s="34">
        <v>0</v>
      </c>
      <c r="E726" s="34">
        <v>0</v>
      </c>
      <c r="F726" s="34">
        <v>301</v>
      </c>
      <c r="G726" s="34">
        <v>0</v>
      </c>
      <c r="H726" s="34"/>
      <c r="I726" s="34" t="s">
        <v>1561</v>
      </c>
      <c r="J726" s="34" t="s">
        <v>1561</v>
      </c>
      <c r="K726" s="107" t="s">
        <v>1561</v>
      </c>
      <c r="L726" s="34" t="s">
        <v>1561</v>
      </c>
    </row>
    <row r="727" spans="1:12" ht="16.5" x14ac:dyDescent="0.35">
      <c r="A727" s="110" t="str">
        <f>HYPERLINK("http://examplebusiness.comwp-content/themes/finesse/responsive.css","http://examplebusiness.comwp-content/themes/finesse/responsive.css")</f>
        <v>http://examplebusiness.comwp-content/themes/finesse/responsive.css</v>
      </c>
      <c r="B727" s="34">
        <v>4</v>
      </c>
      <c r="C727" s="34">
        <v>0</v>
      </c>
      <c r="D727" s="34">
        <v>0</v>
      </c>
      <c r="E727" s="34">
        <v>0</v>
      </c>
      <c r="F727" s="34">
        <v>301</v>
      </c>
      <c r="G727" s="34">
        <v>0</v>
      </c>
      <c r="H727" s="34"/>
      <c r="I727" s="34" t="s">
        <v>1561</v>
      </c>
      <c r="J727" s="34" t="s">
        <v>1561</v>
      </c>
      <c r="K727" s="107" t="s">
        <v>1561</v>
      </c>
      <c r="L727" s="34" t="s">
        <v>1561</v>
      </c>
    </row>
    <row r="728" spans="1:12" ht="16.5" x14ac:dyDescent="0.35">
      <c r="A728" s="110" t="str">
        <f>HYPERLINK("http://examplebusiness.comwp-content/themes/finesse/responsive.css?ver=3.0","http://examplebusiness.comwp-content/themes/finesse/responsive.css?ver=3.0")</f>
        <v>http://examplebusiness.comwp-content/themes/finesse/responsive.css?ver=3.0</v>
      </c>
      <c r="B728" s="34">
        <v>4</v>
      </c>
      <c r="C728" s="34">
        <v>0</v>
      </c>
      <c r="D728" s="34">
        <v>0</v>
      </c>
      <c r="E728" s="34">
        <v>0</v>
      </c>
      <c r="F728" s="34">
        <v>301</v>
      </c>
      <c r="G728" s="34">
        <v>0</v>
      </c>
      <c r="H728" s="34"/>
      <c r="I728" s="34" t="s">
        <v>1561</v>
      </c>
      <c r="J728" s="34" t="s">
        <v>1561</v>
      </c>
      <c r="K728" s="107" t="s">
        <v>1561</v>
      </c>
      <c r="L728" s="34" t="s">
        <v>1561</v>
      </c>
    </row>
    <row r="729" spans="1:12" ht="16.5" x14ac:dyDescent="0.35">
      <c r="A729" s="110" t="str">
        <f>HYPERLINK("http://examplebusiness.comwp-content/themes/finesse/style.css","http://examplebusiness.comwp-content/themes/finesse/style.css")</f>
        <v>http://examplebusiness.comwp-content/themes/finesse/style.css</v>
      </c>
      <c r="B729" s="34">
        <v>4</v>
      </c>
      <c r="C729" s="34">
        <v>0</v>
      </c>
      <c r="D729" s="34">
        <v>0</v>
      </c>
      <c r="E729" s="34">
        <v>0</v>
      </c>
      <c r="F729" s="34">
        <v>301</v>
      </c>
      <c r="G729" s="34">
        <v>0</v>
      </c>
      <c r="H729" s="34"/>
      <c r="I729" s="34" t="s">
        <v>1561</v>
      </c>
      <c r="J729" s="34" t="s">
        <v>1561</v>
      </c>
      <c r="K729" s="107" t="s">
        <v>1561</v>
      </c>
      <c r="L729" s="34" t="s">
        <v>1561</v>
      </c>
    </row>
    <row r="730" spans="1:12" ht="16.5" x14ac:dyDescent="0.35">
      <c r="A730" s="110" t="str">
        <f>HYPERLINK("http://examplebusiness.com)","http://examplebusiness.com)")</f>
        <v>http://examplebusiness.com)</v>
      </c>
      <c r="B730" s="34">
        <v>4</v>
      </c>
      <c r="C730" s="34">
        <v>0</v>
      </c>
      <c r="D730" s="34">
        <v>0</v>
      </c>
      <c r="E730" s="34">
        <v>0</v>
      </c>
      <c r="F730" s="34">
        <v>301</v>
      </c>
      <c r="G730" s="34">
        <v>0</v>
      </c>
      <c r="H730" s="34"/>
      <c r="I730" s="34" t="s">
        <v>1561</v>
      </c>
      <c r="J730" s="34" t="s">
        <v>1561</v>
      </c>
      <c r="K730" s="107" t="s">
        <v>1561</v>
      </c>
      <c r="L730" s="34" t="s">
        <v>1561</v>
      </c>
    </row>
    <row r="731" spans="1:12" ht="16.5" x14ac:dyDescent="0.35">
      <c r="A731" s="110" t="str">
        <f>HYPERLINK("http://examplebusiness.com10-key-milestones-to-retirement/","http://examplebusiness.com10-key-milestones-to-retirement/")</f>
        <v>http://examplebusiness.com10-key-milestones-to-retirement/</v>
      </c>
      <c r="B731" s="34">
        <v>4</v>
      </c>
      <c r="C731" s="34">
        <v>0</v>
      </c>
      <c r="D731" s="34">
        <v>0</v>
      </c>
      <c r="E731" s="34">
        <v>0</v>
      </c>
      <c r="F731" s="34">
        <v>301</v>
      </c>
      <c r="G731" s="34">
        <v>0</v>
      </c>
      <c r="H731" s="34"/>
      <c r="I731" s="34" t="s">
        <v>1561</v>
      </c>
      <c r="J731" s="34" t="s">
        <v>1561</v>
      </c>
      <c r="K731" s="107" t="s">
        <v>1561</v>
      </c>
      <c r="L731" s="34" t="s">
        <v>1561</v>
      </c>
    </row>
    <row r="732" spans="1:12" ht="16.5" x14ac:dyDescent="0.35">
      <c r="A732" s="110" t="str">
        <f>HYPERLINK("http://www.examplebusiness.com2007.aspx","http://www.examplebusiness.com2007.aspx")</f>
        <v>http://www.examplebusiness.com2007.aspx</v>
      </c>
      <c r="B732" s="34">
        <v>4</v>
      </c>
      <c r="C732" s="34">
        <v>0</v>
      </c>
      <c r="D732" s="34">
        <v>0</v>
      </c>
      <c r="E732" s="34">
        <v>0</v>
      </c>
      <c r="F732" s="34">
        <v>301</v>
      </c>
      <c r="G732" s="34">
        <v>0</v>
      </c>
      <c r="H732" s="34"/>
      <c r="I732" s="34" t="s">
        <v>1561</v>
      </c>
      <c r="J732" s="34" t="s">
        <v>1561</v>
      </c>
      <c r="K732" s="107" t="s">
        <v>1561</v>
      </c>
      <c r="L732" s="34" t="s">
        <v>1561</v>
      </c>
    </row>
    <row r="733" spans="1:12" ht="16.5" x14ac:dyDescent="0.35">
      <c r="A733" s="110" t="str">
        <f>HYPERLINK("http://www.examplebusiness.com2008.aspx","http://www.examplebusiness.com2008.aspx")</f>
        <v>http://www.examplebusiness.com2008.aspx</v>
      </c>
      <c r="B733" s="34">
        <v>4</v>
      </c>
      <c r="C733" s="34">
        <v>0</v>
      </c>
      <c r="D733" s="34">
        <v>0</v>
      </c>
      <c r="E733" s="34">
        <v>0</v>
      </c>
      <c r="F733" s="34">
        <v>301</v>
      </c>
      <c r="G733" s="34">
        <v>0</v>
      </c>
      <c r="H733" s="34"/>
      <c r="I733" s="34" t="s">
        <v>1561</v>
      </c>
      <c r="J733" s="34" t="s">
        <v>1561</v>
      </c>
      <c r="K733" s="107" t="s">
        <v>1561</v>
      </c>
      <c r="L733" s="34" t="s">
        <v>1561</v>
      </c>
    </row>
    <row r="734" spans="1:12" ht="16.5" x14ac:dyDescent="0.35">
      <c r="A734" s="110" t="str">
        <f>HYPERLINK("http://www.examplebusiness.com2010.aspx","http://www.examplebusiness.com2010.aspx")</f>
        <v>http://www.examplebusiness.com2010.aspx</v>
      </c>
      <c r="B734" s="34">
        <v>4</v>
      </c>
      <c r="C734" s="34">
        <v>0</v>
      </c>
      <c r="D734" s="34">
        <v>0</v>
      </c>
      <c r="E734" s="34">
        <v>0</v>
      </c>
      <c r="F734" s="34">
        <v>301</v>
      </c>
      <c r="G734" s="34">
        <v>0</v>
      </c>
      <c r="H734" s="34"/>
      <c r="I734" s="34" t="s">
        <v>1561</v>
      </c>
      <c r="J734" s="34" t="s">
        <v>1561</v>
      </c>
      <c r="K734" s="107" t="s">
        <v>1561</v>
      </c>
      <c r="L734" s="34" t="s">
        <v>1561</v>
      </c>
    </row>
    <row r="735" spans="1:12" ht="16.5" x14ac:dyDescent="0.35">
      <c r="A735" s="110" t="str">
        <f>HYPERLINK("http://examplebusiness.com2010.aspx","http://examplebusiness.com2010.aspx")</f>
        <v>http://examplebusiness.com2010.aspx</v>
      </c>
      <c r="B735" s="34">
        <v>4</v>
      </c>
      <c r="C735" s="34">
        <v>0</v>
      </c>
      <c r="D735" s="34">
        <v>0</v>
      </c>
      <c r="E735" s="34">
        <v>0</v>
      </c>
      <c r="F735" s="34">
        <v>301</v>
      </c>
      <c r="G735" s="34">
        <v>0</v>
      </c>
      <c r="H735" s="34"/>
      <c r="I735" s="34" t="s">
        <v>1561</v>
      </c>
      <c r="J735" s="34" t="s">
        <v>1561</v>
      </c>
      <c r="K735" s="107" t="s">
        <v>1561</v>
      </c>
      <c r="L735" s="34" t="s">
        <v>1561</v>
      </c>
    </row>
    <row r="736" spans="1:12" ht="16.5" x14ac:dyDescent="0.35">
      <c r="A736" s="110" t="str">
        <f>HYPERLINK("http://www.examplebusiness.com2011.aspx","http://www.examplebusiness.com2011.aspx")</f>
        <v>http://www.examplebusiness.com2011.aspx</v>
      </c>
      <c r="B736" s="34">
        <v>4</v>
      </c>
      <c r="C736" s="34">
        <v>0</v>
      </c>
      <c r="D736" s="34">
        <v>0</v>
      </c>
      <c r="E736" s="34">
        <v>0</v>
      </c>
      <c r="F736" s="34">
        <v>301</v>
      </c>
      <c r="G736" s="34">
        <v>0</v>
      </c>
      <c r="H736" s="34"/>
      <c r="I736" s="34" t="s">
        <v>1561</v>
      </c>
      <c r="J736" s="34" t="s">
        <v>1561</v>
      </c>
      <c r="K736" s="107" t="s">
        <v>1561</v>
      </c>
      <c r="L736" s="34" t="s">
        <v>1561</v>
      </c>
    </row>
    <row r="737" spans="1:12" ht="16.5" x14ac:dyDescent="0.35">
      <c r="A737" s="110" t="str">
        <f>HYPERLINK("http://examplebusiness.com2011/01/","http://examplebusiness.com2011/01/")</f>
        <v>http://examplebusiness.com2011/01/</v>
      </c>
      <c r="B737" s="34">
        <v>4</v>
      </c>
      <c r="C737" s="34">
        <v>0</v>
      </c>
      <c r="D737" s="34">
        <v>0</v>
      </c>
      <c r="E737" s="34">
        <v>0</v>
      </c>
      <c r="F737" s="34">
        <v>301</v>
      </c>
      <c r="G737" s="34">
        <v>0</v>
      </c>
      <c r="H737" s="34"/>
      <c r="I737" s="34" t="s">
        <v>1561</v>
      </c>
      <c r="J737" s="34" t="s">
        <v>1561</v>
      </c>
      <c r="K737" s="107" t="s">
        <v>1561</v>
      </c>
      <c r="L737" s="34" t="s">
        <v>1561</v>
      </c>
    </row>
    <row r="738" spans="1:12" ht="16.5" x14ac:dyDescent="0.35">
      <c r="A738" s="110" t="str">
        <f>HYPERLINK("http://examplebusiness.com2011/08/","http://examplebusiness.com2011/08/")</f>
        <v>http://examplebusiness.com2011/08/</v>
      </c>
      <c r="B738" s="34">
        <v>4</v>
      </c>
      <c r="C738" s="34">
        <v>0</v>
      </c>
      <c r="D738" s="34">
        <v>0</v>
      </c>
      <c r="E738" s="34">
        <v>0</v>
      </c>
      <c r="F738" s="34">
        <v>301</v>
      </c>
      <c r="G738" s="34">
        <v>0</v>
      </c>
      <c r="H738" s="34"/>
      <c r="I738" s="34" t="s">
        <v>1561</v>
      </c>
      <c r="J738" s="34" t="s">
        <v>1561</v>
      </c>
      <c r="K738" s="107" t="s">
        <v>1561</v>
      </c>
      <c r="L738" s="34" t="s">
        <v>1561</v>
      </c>
    </row>
    <row r="739" spans="1:12" ht="16.5" x14ac:dyDescent="0.35">
      <c r="A739" s="110" t="str">
        <f>HYPERLINK("http://examplebusiness.com2011/09/","http://examplebusiness.com2011/09/")</f>
        <v>http://examplebusiness.com2011/09/</v>
      </c>
      <c r="B739" s="34">
        <v>4</v>
      </c>
      <c r="C739" s="34">
        <v>0</v>
      </c>
      <c r="D739" s="34">
        <v>0</v>
      </c>
      <c r="E739" s="34">
        <v>0</v>
      </c>
      <c r="F739" s="34">
        <v>301</v>
      </c>
      <c r="G739" s="34">
        <v>0</v>
      </c>
      <c r="H739" s="34"/>
      <c r="I739" s="34" t="s">
        <v>1561</v>
      </c>
      <c r="J739" s="34" t="s">
        <v>1561</v>
      </c>
      <c r="K739" s="107" t="s">
        <v>1561</v>
      </c>
      <c r="L739" s="34" t="s">
        <v>1561</v>
      </c>
    </row>
    <row r="740" spans="1:12" ht="16.5" x14ac:dyDescent="0.35">
      <c r="A740" s="110" t="str">
        <f>HYPERLINK("http://examplebusiness.com2011/10/","http://examplebusiness.com2011/10/")</f>
        <v>http://examplebusiness.com2011/10/</v>
      </c>
      <c r="B740" s="34">
        <v>4</v>
      </c>
      <c r="C740" s="34">
        <v>0</v>
      </c>
      <c r="D740" s="34">
        <v>0</v>
      </c>
      <c r="E740" s="34">
        <v>0</v>
      </c>
      <c r="F740" s="34">
        <v>301</v>
      </c>
      <c r="G740" s="34">
        <v>0</v>
      </c>
      <c r="H740" s="34"/>
      <c r="I740" s="34" t="s">
        <v>1561</v>
      </c>
      <c r="J740" s="34" t="s">
        <v>1561</v>
      </c>
      <c r="K740" s="107" t="s">
        <v>1561</v>
      </c>
      <c r="L740" s="34" t="s">
        <v>1561</v>
      </c>
    </row>
    <row r="741" spans="1:12" ht="16.5" x14ac:dyDescent="0.35">
      <c r="A741" s="110" t="str">
        <f>HYPERLINK("http://examplebusiness.com2011/12/","http://examplebusiness.com2011/12/")</f>
        <v>http://examplebusiness.com2011/12/</v>
      </c>
      <c r="B741" s="34">
        <v>4</v>
      </c>
      <c r="C741" s="34">
        <v>0</v>
      </c>
      <c r="D741" s="34">
        <v>0</v>
      </c>
      <c r="E741" s="34">
        <v>0</v>
      </c>
      <c r="F741" s="34">
        <v>301</v>
      </c>
      <c r="G741" s="34">
        <v>0</v>
      </c>
      <c r="H741" s="34"/>
      <c r="I741" s="34" t="s">
        <v>1561</v>
      </c>
      <c r="J741" s="34" t="s">
        <v>1561</v>
      </c>
      <c r="K741" s="107" t="s">
        <v>1561</v>
      </c>
      <c r="L741" s="34" t="s">
        <v>1561</v>
      </c>
    </row>
    <row r="742" spans="1:12" ht="16.5" x14ac:dyDescent="0.35">
      <c r="A742" s="110" t="str">
        <f>HYPERLINK("http://www.examplebusiness.com2012.aspx","http://www.examplebusiness.com2012.aspx")</f>
        <v>http://www.examplebusiness.com2012.aspx</v>
      </c>
      <c r="B742" s="34">
        <v>4</v>
      </c>
      <c r="C742" s="34">
        <v>0</v>
      </c>
      <c r="D742" s="34">
        <v>0</v>
      </c>
      <c r="E742" s="34">
        <v>0</v>
      </c>
      <c r="F742" s="34">
        <v>301</v>
      </c>
      <c r="G742" s="34">
        <v>0</v>
      </c>
      <c r="H742" s="34"/>
      <c r="I742" s="34" t="s">
        <v>1561</v>
      </c>
      <c r="J742" s="34" t="s">
        <v>1561</v>
      </c>
      <c r="K742" s="107" t="s">
        <v>1561</v>
      </c>
      <c r="L742" s="34" t="s">
        <v>1561</v>
      </c>
    </row>
    <row r="743" spans="1:12" ht="16.5" x14ac:dyDescent="0.35">
      <c r="A743" s="110" t="str">
        <f>HYPERLINK("http://examplebusiness.com2012/02/","http://examplebusiness.com2012/02/")</f>
        <v>http://examplebusiness.com2012/02/</v>
      </c>
      <c r="B743" s="34">
        <v>4</v>
      </c>
      <c r="C743" s="34">
        <v>0</v>
      </c>
      <c r="D743" s="34">
        <v>0</v>
      </c>
      <c r="E743" s="34">
        <v>0</v>
      </c>
      <c r="F743" s="34">
        <v>301</v>
      </c>
      <c r="G743" s="34">
        <v>0</v>
      </c>
      <c r="H743" s="34"/>
      <c r="I743" s="34" t="s">
        <v>1561</v>
      </c>
      <c r="J743" s="34" t="s">
        <v>1561</v>
      </c>
      <c r="K743" s="107" t="s">
        <v>1561</v>
      </c>
      <c r="L743" s="34" t="s">
        <v>1561</v>
      </c>
    </row>
    <row r="744" spans="1:12" ht="16.5" x14ac:dyDescent="0.35">
      <c r="A744" s="110" t="str">
        <f>HYPERLINK("http://examplebusiness.com2012/03/","http://examplebusiness.com2012/03/")</f>
        <v>http://examplebusiness.com2012/03/</v>
      </c>
      <c r="B744" s="34">
        <v>4</v>
      </c>
      <c r="C744" s="34">
        <v>0</v>
      </c>
      <c r="D744" s="34">
        <v>0</v>
      </c>
      <c r="E744" s="34">
        <v>0</v>
      </c>
      <c r="F744" s="34">
        <v>301</v>
      </c>
      <c r="G744" s="34">
        <v>0</v>
      </c>
      <c r="H744" s="34"/>
      <c r="I744" s="34" t="s">
        <v>1561</v>
      </c>
      <c r="J744" s="34" t="s">
        <v>1561</v>
      </c>
      <c r="K744" s="107" t="s">
        <v>1561</v>
      </c>
      <c r="L744" s="34" t="s">
        <v>1561</v>
      </c>
    </row>
    <row r="745" spans="1:12" ht="16.5" x14ac:dyDescent="0.35">
      <c r="A745" s="110" t="str">
        <f>HYPERLINK("http://examplebusiness.com2012/06/","http://examplebusiness.com2012/06/")</f>
        <v>http://examplebusiness.com2012/06/</v>
      </c>
      <c r="B745" s="34">
        <v>4</v>
      </c>
      <c r="C745" s="34">
        <v>0</v>
      </c>
      <c r="D745" s="34">
        <v>0</v>
      </c>
      <c r="E745" s="34">
        <v>0</v>
      </c>
      <c r="F745" s="34">
        <v>301</v>
      </c>
      <c r="G745" s="34">
        <v>0</v>
      </c>
      <c r="H745" s="34"/>
      <c r="I745" s="34" t="s">
        <v>1561</v>
      </c>
      <c r="J745" s="34" t="s">
        <v>1561</v>
      </c>
      <c r="K745" s="107" t="s">
        <v>1561</v>
      </c>
      <c r="L745" s="34" t="s">
        <v>1561</v>
      </c>
    </row>
    <row r="746" spans="1:12" ht="16.5" x14ac:dyDescent="0.35">
      <c r="A746" s="110" t="str">
        <f>HYPERLINK("http://examplebusiness.com2012/10/","http://examplebusiness.com2012/10/")</f>
        <v>http://examplebusiness.com2012/10/</v>
      </c>
      <c r="B746" s="34">
        <v>4</v>
      </c>
      <c r="C746" s="34">
        <v>0</v>
      </c>
      <c r="D746" s="34">
        <v>0</v>
      </c>
      <c r="E746" s="34">
        <v>0</v>
      </c>
      <c r="F746" s="34">
        <v>301</v>
      </c>
      <c r="G746" s="34">
        <v>0</v>
      </c>
      <c r="H746" s="34"/>
      <c r="I746" s="34" t="s">
        <v>1561</v>
      </c>
      <c r="J746" s="34" t="s">
        <v>1561</v>
      </c>
      <c r="K746" s="107" t="s">
        <v>1561</v>
      </c>
      <c r="L746" s="34" t="s">
        <v>1561</v>
      </c>
    </row>
    <row r="747" spans="1:12" ht="16.5" x14ac:dyDescent="0.35">
      <c r="A747" s="110" t="str">
        <f>HYPERLINK("http://www.examplebusiness.com2013.aspx","http://www.examplebusiness.com2013.aspx")</f>
        <v>http://www.examplebusiness.com2013.aspx</v>
      </c>
      <c r="B747" s="34">
        <v>4</v>
      </c>
      <c r="C747" s="34">
        <v>0</v>
      </c>
      <c r="D747" s="34">
        <v>0</v>
      </c>
      <c r="E747" s="34">
        <v>0</v>
      </c>
      <c r="F747" s="34">
        <v>301</v>
      </c>
      <c r="G747" s="34">
        <v>0</v>
      </c>
      <c r="H747" s="34"/>
      <c r="I747" s="34" t="s">
        <v>1561</v>
      </c>
      <c r="J747" s="34" t="s">
        <v>1561</v>
      </c>
      <c r="K747" s="107" t="s">
        <v>1561</v>
      </c>
      <c r="L747" s="34" t="s">
        <v>1561</v>
      </c>
    </row>
    <row r="748" spans="1:12" ht="16.5" x14ac:dyDescent="0.35">
      <c r="A748" s="110" t="str">
        <f>HYPERLINK("http://examplebusiness.com2013/02/","http://examplebusiness.com2013/02/")</f>
        <v>http://examplebusiness.com2013/02/</v>
      </c>
      <c r="B748" s="34">
        <v>4</v>
      </c>
      <c r="C748" s="34">
        <v>0</v>
      </c>
      <c r="D748" s="34">
        <v>0</v>
      </c>
      <c r="E748" s="34">
        <v>0</v>
      </c>
      <c r="F748" s="34">
        <v>301</v>
      </c>
      <c r="G748" s="34">
        <v>0</v>
      </c>
      <c r="H748" s="34"/>
      <c r="I748" s="34" t="s">
        <v>1561</v>
      </c>
      <c r="J748" s="34" t="s">
        <v>1561</v>
      </c>
      <c r="K748" s="107" t="s">
        <v>1561</v>
      </c>
      <c r="L748" s="34" t="s">
        <v>1561</v>
      </c>
    </row>
    <row r="749" spans="1:12" ht="16.5" x14ac:dyDescent="0.35">
      <c r="A749" s="110" t="str">
        <f>HYPERLINK("http://examplebusiness.com2013/05/","http://examplebusiness.com2013/05/")</f>
        <v>http://examplebusiness.com2013/05/</v>
      </c>
      <c r="B749" s="34">
        <v>4</v>
      </c>
      <c r="C749" s="34">
        <v>0</v>
      </c>
      <c r="D749" s="34">
        <v>0</v>
      </c>
      <c r="E749" s="34">
        <v>0</v>
      </c>
      <c r="F749" s="34">
        <v>301</v>
      </c>
      <c r="G749" s="34">
        <v>0</v>
      </c>
      <c r="H749" s="34"/>
      <c r="I749" s="34" t="s">
        <v>1561</v>
      </c>
      <c r="J749" s="34" t="s">
        <v>1561</v>
      </c>
      <c r="K749" s="107" t="s">
        <v>1561</v>
      </c>
      <c r="L749" s="34" t="s">
        <v>1561</v>
      </c>
    </row>
    <row r="750" spans="1:12" ht="16.5" x14ac:dyDescent="0.35">
      <c r="A750" s="110" t="str">
        <f>HYPERLINK("http://examplebusiness.com2013/06/","http://examplebusiness.com2013/06/")</f>
        <v>http://examplebusiness.com2013/06/</v>
      </c>
      <c r="B750" s="34">
        <v>4</v>
      </c>
      <c r="C750" s="34">
        <v>0</v>
      </c>
      <c r="D750" s="34">
        <v>0</v>
      </c>
      <c r="E750" s="34">
        <v>0</v>
      </c>
      <c r="F750" s="34">
        <v>301</v>
      </c>
      <c r="G750" s="34">
        <v>0</v>
      </c>
      <c r="H750" s="34"/>
      <c r="I750" s="34" t="s">
        <v>1561</v>
      </c>
      <c r="J750" s="34" t="s">
        <v>1561</v>
      </c>
      <c r="K750" s="107" t="s">
        <v>1561</v>
      </c>
      <c r="L750" s="34" t="s">
        <v>1561</v>
      </c>
    </row>
    <row r="751" spans="1:12" ht="16.5" x14ac:dyDescent="0.35">
      <c r="A751" s="110" t="str">
        <f>HYPERLINK("http://examplebusiness.com2013/07/","http://examplebusiness.com2013/07/")</f>
        <v>http://examplebusiness.com2013/07/</v>
      </c>
      <c r="B751" s="34">
        <v>4</v>
      </c>
      <c r="C751" s="34">
        <v>0</v>
      </c>
      <c r="D751" s="34">
        <v>0</v>
      </c>
      <c r="E751" s="34">
        <v>0</v>
      </c>
      <c r="F751" s="34">
        <v>301</v>
      </c>
      <c r="G751" s="34">
        <v>0</v>
      </c>
      <c r="H751" s="34"/>
      <c r="I751" s="34" t="s">
        <v>1561</v>
      </c>
      <c r="J751" s="34" t="s">
        <v>1561</v>
      </c>
      <c r="K751" s="107" t="s">
        <v>1561</v>
      </c>
      <c r="L751" s="34" t="s">
        <v>1561</v>
      </c>
    </row>
    <row r="752" spans="1:12" ht="16.5" x14ac:dyDescent="0.35">
      <c r="A752" s="110" t="str">
        <f>HYPERLINK("http://examplebusiness.com2014/02/","http://examplebusiness.com2014/02/")</f>
        <v>http://examplebusiness.com2014/02/</v>
      </c>
      <c r="B752" s="34">
        <v>4</v>
      </c>
      <c r="C752" s="34">
        <v>0</v>
      </c>
      <c r="D752" s="34">
        <v>0</v>
      </c>
      <c r="E752" s="34">
        <v>0</v>
      </c>
      <c r="F752" s="34">
        <v>301</v>
      </c>
      <c r="G752" s="34">
        <v>0</v>
      </c>
      <c r="H752" s="34"/>
      <c r="I752" s="34" t="s">
        <v>1561</v>
      </c>
      <c r="J752" s="34" t="s">
        <v>1561</v>
      </c>
      <c r="K752" s="107" t="s">
        <v>1561</v>
      </c>
      <c r="L752" s="34" t="s">
        <v>1561</v>
      </c>
    </row>
    <row r="753" spans="1:12" ht="16.5" x14ac:dyDescent="0.35">
      <c r="A753" s="110" t="str">
        <f>HYPERLINK("http://examplebusiness.com2014/04/","http://examplebusiness.com2014/04/")</f>
        <v>http://examplebusiness.com2014/04/</v>
      </c>
      <c r="B753" s="34">
        <v>4</v>
      </c>
      <c r="C753" s="34">
        <v>0</v>
      </c>
      <c r="D753" s="34">
        <v>0</v>
      </c>
      <c r="E753" s="34">
        <v>0</v>
      </c>
      <c r="F753" s="34">
        <v>301</v>
      </c>
      <c r="G753" s="34">
        <v>0</v>
      </c>
      <c r="H753" s="34"/>
      <c r="I753" s="34" t="s">
        <v>1561</v>
      </c>
      <c r="J753" s="34" t="s">
        <v>1561</v>
      </c>
      <c r="K753" s="107" t="s">
        <v>1561</v>
      </c>
      <c r="L753" s="34" t="s">
        <v>1561</v>
      </c>
    </row>
    <row r="754" spans="1:12" ht="16.5" x14ac:dyDescent="0.35">
      <c r="A754" s="110" t="str">
        <f>HYPERLINK("http://examplebusiness.com2014/07/","http://examplebusiness.com2014/07/")</f>
        <v>http://examplebusiness.com2014/07/</v>
      </c>
      <c r="B754" s="34">
        <v>4</v>
      </c>
      <c r="C754" s="34">
        <v>0</v>
      </c>
      <c r="D754" s="34">
        <v>0</v>
      </c>
      <c r="E754" s="34">
        <v>0</v>
      </c>
      <c r="F754" s="34">
        <v>301</v>
      </c>
      <c r="G754" s="34">
        <v>0</v>
      </c>
      <c r="H754" s="34"/>
      <c r="I754" s="34" t="s">
        <v>1561</v>
      </c>
      <c r="J754" s="34" t="s">
        <v>1561</v>
      </c>
      <c r="K754" s="107" t="s">
        <v>1561</v>
      </c>
      <c r="L754" s="34" t="s">
        <v>1561</v>
      </c>
    </row>
    <row r="755" spans="1:12" ht="16.5" x14ac:dyDescent="0.35">
      <c r="A755" s="110" t="str">
        <f>HYPERLINK("http://examplebusiness.com2014/08/","http://examplebusiness.com2014/08/")</f>
        <v>http://examplebusiness.com2014/08/</v>
      </c>
      <c r="B755" s="34">
        <v>4</v>
      </c>
      <c r="C755" s="34">
        <v>0</v>
      </c>
      <c r="D755" s="34">
        <v>0</v>
      </c>
      <c r="E755" s="34">
        <v>0</v>
      </c>
      <c r="F755" s="34">
        <v>301</v>
      </c>
      <c r="G755" s="34">
        <v>0</v>
      </c>
      <c r="H755" s="34"/>
      <c r="I755" s="34" t="s">
        <v>1561</v>
      </c>
      <c r="J755" s="34" t="s">
        <v>1561</v>
      </c>
      <c r="K755" s="107" t="s">
        <v>1561</v>
      </c>
      <c r="L755" s="34" t="s">
        <v>1561</v>
      </c>
    </row>
    <row r="756" spans="1:12" ht="16.5" x14ac:dyDescent="0.35">
      <c r="A756" s="110" t="str">
        <f>HYPERLINK("http://examplebusiness.com2014/09/","http://examplebusiness.com2014/09/")</f>
        <v>http://examplebusiness.com2014/09/</v>
      </c>
      <c r="B756" s="34">
        <v>4</v>
      </c>
      <c r="C756" s="34">
        <v>0</v>
      </c>
      <c r="D756" s="34">
        <v>0</v>
      </c>
      <c r="E756" s="34">
        <v>0</v>
      </c>
      <c r="F756" s="34">
        <v>301</v>
      </c>
      <c r="G756" s="34">
        <v>0</v>
      </c>
      <c r="H756" s="34"/>
      <c r="I756" s="34" t="s">
        <v>1561</v>
      </c>
      <c r="J756" s="34" t="s">
        <v>1561</v>
      </c>
      <c r="K756" s="107" t="s">
        <v>1561</v>
      </c>
      <c r="L756" s="34" t="s">
        <v>1561</v>
      </c>
    </row>
    <row r="757" spans="1:12" ht="16.5" x14ac:dyDescent="0.35">
      <c r="A757" s="110" t="str">
        <f>HYPERLINK("http://examplebusiness.com2014/10/","http://examplebusiness.com2014/10/")</f>
        <v>http://examplebusiness.com2014/10/</v>
      </c>
      <c r="B757" s="34">
        <v>4</v>
      </c>
      <c r="C757" s="34">
        <v>0</v>
      </c>
      <c r="D757" s="34">
        <v>0</v>
      </c>
      <c r="E757" s="34">
        <v>0</v>
      </c>
      <c r="F757" s="34">
        <v>301</v>
      </c>
      <c r="G757" s="34">
        <v>0</v>
      </c>
      <c r="H757" s="34"/>
      <c r="I757" s="34" t="s">
        <v>1561</v>
      </c>
      <c r="J757" s="34" t="s">
        <v>1561</v>
      </c>
      <c r="K757" s="107" t="s">
        <v>1561</v>
      </c>
      <c r="L757" s="34" t="s">
        <v>1561</v>
      </c>
    </row>
    <row r="758" spans="1:12" ht="16.5" x14ac:dyDescent="0.35">
      <c r="A758" s="110" t="str">
        <f>HYPERLINK("http://examplebusiness.com2014/11/","http://examplebusiness.com2014/11/")</f>
        <v>http://examplebusiness.com2014/11/</v>
      </c>
      <c r="B758" s="34">
        <v>4</v>
      </c>
      <c r="C758" s="34">
        <v>0</v>
      </c>
      <c r="D758" s="34">
        <v>0</v>
      </c>
      <c r="E758" s="34">
        <v>0</v>
      </c>
      <c r="F758" s="34">
        <v>301</v>
      </c>
      <c r="G758" s="34">
        <v>0</v>
      </c>
      <c r="H758" s="34"/>
      <c r="I758" s="34" t="s">
        <v>1561</v>
      </c>
      <c r="J758" s="34" t="s">
        <v>1561</v>
      </c>
      <c r="K758" s="107" t="s">
        <v>1561</v>
      </c>
      <c r="L758" s="34" t="s">
        <v>1561</v>
      </c>
    </row>
    <row r="759" spans="1:12" ht="16.5" x14ac:dyDescent="0.35">
      <c r="A759" s="110" t="str">
        <f>HYPERLINK("http://examplebusiness.com2014/12/","http://examplebusiness.com2014/12/")</f>
        <v>http://examplebusiness.com2014/12/</v>
      </c>
      <c r="B759" s="34">
        <v>4</v>
      </c>
      <c r="C759" s="34">
        <v>0</v>
      </c>
      <c r="D759" s="34">
        <v>0</v>
      </c>
      <c r="E759" s="34">
        <v>0</v>
      </c>
      <c r="F759" s="34">
        <v>301</v>
      </c>
      <c r="G759" s="34">
        <v>0</v>
      </c>
      <c r="H759" s="34"/>
      <c r="I759" s="34" t="s">
        <v>1561</v>
      </c>
      <c r="J759" s="34" t="s">
        <v>1561</v>
      </c>
      <c r="K759" s="107" t="s">
        <v>1561</v>
      </c>
      <c r="L759" s="34" t="s">
        <v>1561</v>
      </c>
    </row>
    <row r="760" spans="1:12" ht="16.5" x14ac:dyDescent="0.35">
      <c r="A760" s="110" t="str">
        <f>HYPERLINK("http://examplebusiness.com2015/01/","http://examplebusiness.com2015/01/")</f>
        <v>http://examplebusiness.com2015/01/</v>
      </c>
      <c r="B760" s="34">
        <v>4</v>
      </c>
      <c r="C760" s="34">
        <v>0</v>
      </c>
      <c r="D760" s="34">
        <v>0</v>
      </c>
      <c r="E760" s="34">
        <v>0</v>
      </c>
      <c r="F760" s="34">
        <v>301</v>
      </c>
      <c r="G760" s="34">
        <v>0</v>
      </c>
      <c r="H760" s="34"/>
      <c r="I760" s="34" t="s">
        <v>1561</v>
      </c>
      <c r="J760" s="34" t="s">
        <v>1561</v>
      </c>
      <c r="K760" s="107" t="s">
        <v>1561</v>
      </c>
      <c r="L760" s="34" t="s">
        <v>1561</v>
      </c>
    </row>
    <row r="761" spans="1:12" ht="16.5" x14ac:dyDescent="0.35">
      <c r="A761" s="110" t="str">
        <f>HYPERLINK("http://examplebusiness.com2015/02/","http://examplebusiness.com2015/02/")</f>
        <v>http://examplebusiness.com2015/02/</v>
      </c>
      <c r="B761" s="34">
        <v>4</v>
      </c>
      <c r="C761" s="34">
        <v>0</v>
      </c>
      <c r="D761" s="34">
        <v>0</v>
      </c>
      <c r="E761" s="34">
        <v>0</v>
      </c>
      <c r="F761" s="34">
        <v>301</v>
      </c>
      <c r="G761" s="34">
        <v>0</v>
      </c>
      <c r="H761" s="34"/>
      <c r="I761" s="34" t="s">
        <v>1561</v>
      </c>
      <c r="J761" s="34" t="s">
        <v>1561</v>
      </c>
      <c r="K761" s="107" t="s">
        <v>1561</v>
      </c>
      <c r="L761" s="34" t="s">
        <v>1561</v>
      </c>
    </row>
    <row r="762" spans="1:12" ht="16.5" x14ac:dyDescent="0.35">
      <c r="A762" s="110" t="str">
        <f>HYPERLINK("http://examplebusiness.com2015/03/","http://examplebusiness.com2015/03/")</f>
        <v>http://examplebusiness.com2015/03/</v>
      </c>
      <c r="B762" s="34">
        <v>4</v>
      </c>
      <c r="C762" s="34">
        <v>0</v>
      </c>
      <c r="D762" s="34">
        <v>0</v>
      </c>
      <c r="E762" s="34">
        <v>0</v>
      </c>
      <c r="F762" s="34">
        <v>301</v>
      </c>
      <c r="G762" s="34">
        <v>0</v>
      </c>
      <c r="H762" s="34"/>
      <c r="I762" s="34" t="s">
        <v>1561</v>
      </c>
      <c r="J762" s="34" t="s">
        <v>1561</v>
      </c>
      <c r="K762" s="107" t="s">
        <v>1561</v>
      </c>
      <c r="L762" s="34" t="s">
        <v>1561</v>
      </c>
    </row>
    <row r="763" spans="1:12" ht="16.5" x14ac:dyDescent="0.35">
      <c r="A763" s="110" t="str">
        <f>HYPERLINK("http://examplebusiness.com2015/04/","http://examplebusiness.com2015/04/")</f>
        <v>http://examplebusiness.com2015/04/</v>
      </c>
      <c r="B763" s="34">
        <v>4</v>
      </c>
      <c r="C763" s="34">
        <v>0</v>
      </c>
      <c r="D763" s="34">
        <v>0</v>
      </c>
      <c r="E763" s="34">
        <v>0</v>
      </c>
      <c r="F763" s="34">
        <v>301</v>
      </c>
      <c r="G763" s="34">
        <v>0</v>
      </c>
      <c r="H763" s="34"/>
      <c r="I763" s="34" t="s">
        <v>1561</v>
      </c>
      <c r="J763" s="34" t="s">
        <v>1561</v>
      </c>
      <c r="K763" s="107" t="s">
        <v>1561</v>
      </c>
      <c r="L763" s="34" t="s">
        <v>1561</v>
      </c>
    </row>
    <row r="764" spans="1:12" ht="16.5" x14ac:dyDescent="0.35">
      <c r="A764" s="110" t="str">
        <f>HYPERLINK("http://examplebusiness.com2015/07/","http://examplebusiness.com2015/07/")</f>
        <v>http://examplebusiness.com2015/07/</v>
      </c>
      <c r="B764" s="34">
        <v>4</v>
      </c>
      <c r="C764" s="34">
        <v>0</v>
      </c>
      <c r="D764" s="34">
        <v>0</v>
      </c>
      <c r="E764" s="34">
        <v>0</v>
      </c>
      <c r="F764" s="34">
        <v>301</v>
      </c>
      <c r="G764" s="34">
        <v>0</v>
      </c>
      <c r="H764" s="34"/>
      <c r="I764" s="34" t="s">
        <v>1561</v>
      </c>
      <c r="J764" s="34" t="s">
        <v>1561</v>
      </c>
      <c r="K764" s="107" t="s">
        <v>1561</v>
      </c>
      <c r="L764" s="34" t="s">
        <v>1561</v>
      </c>
    </row>
    <row r="765" spans="1:12" ht="16.5" x14ac:dyDescent="0.35">
      <c r="A765" s="110" t="str">
        <f>HYPERLINK("http://examplebusiness.com2015/08/","http://examplebusiness.com2015/08/")</f>
        <v>http://examplebusiness.com2015/08/</v>
      </c>
      <c r="B765" s="34">
        <v>4</v>
      </c>
      <c r="C765" s="34">
        <v>0</v>
      </c>
      <c r="D765" s="34">
        <v>0</v>
      </c>
      <c r="E765" s="34">
        <v>0</v>
      </c>
      <c r="F765" s="34">
        <v>301</v>
      </c>
      <c r="G765" s="34">
        <v>0</v>
      </c>
      <c r="H765" s="34"/>
      <c r="I765" s="34" t="s">
        <v>1561</v>
      </c>
      <c r="J765" s="34" t="s">
        <v>1561</v>
      </c>
      <c r="K765" s="107" t="s">
        <v>1561</v>
      </c>
      <c r="L765" s="34" t="s">
        <v>1561</v>
      </c>
    </row>
    <row r="766" spans="1:12" ht="16.5" x14ac:dyDescent="0.35">
      <c r="A766" s="110" t="str">
        <f>HYPERLINK("http://examplebusiness.com2015/10/","http://examplebusiness.com2015/10/")</f>
        <v>http://examplebusiness.com2015/10/</v>
      </c>
      <c r="B766" s="34">
        <v>4</v>
      </c>
      <c r="C766" s="34">
        <v>0</v>
      </c>
      <c r="D766" s="34">
        <v>0</v>
      </c>
      <c r="E766" s="34">
        <v>0</v>
      </c>
      <c r="F766" s="34">
        <v>301</v>
      </c>
      <c r="G766" s="34">
        <v>0</v>
      </c>
      <c r="H766" s="34"/>
      <c r="I766" s="34" t="s">
        <v>1561</v>
      </c>
      <c r="J766" s="34" t="s">
        <v>1561</v>
      </c>
      <c r="K766" s="107" t="s">
        <v>1561</v>
      </c>
      <c r="L766" s="34" t="s">
        <v>1561</v>
      </c>
    </row>
    <row r="767" spans="1:12" ht="16.5" x14ac:dyDescent="0.35">
      <c r="A767" s="110" t="str">
        <f>HYPERLINK("http://examplebusiness.com2015/11/","http://examplebusiness.com2015/11/")</f>
        <v>http://examplebusiness.com2015/11/</v>
      </c>
      <c r="B767" s="34">
        <v>4</v>
      </c>
      <c r="C767" s="34">
        <v>0</v>
      </c>
      <c r="D767" s="34">
        <v>0</v>
      </c>
      <c r="E767" s="34">
        <v>0</v>
      </c>
      <c r="F767" s="34">
        <v>301</v>
      </c>
      <c r="G767" s="34">
        <v>0</v>
      </c>
      <c r="H767" s="34"/>
      <c r="I767" s="34" t="s">
        <v>1561</v>
      </c>
      <c r="J767" s="34" t="s">
        <v>1561</v>
      </c>
      <c r="K767" s="107" t="s">
        <v>1561</v>
      </c>
      <c r="L767" s="34" t="s">
        <v>1561</v>
      </c>
    </row>
    <row r="768" spans="1:12" ht="16.5" x14ac:dyDescent="0.35">
      <c r="A768" s="110" t="str">
        <f>HYPERLINK("http://examplebusiness.com2015/12/","http://examplebusiness.com2015/12/")</f>
        <v>http://examplebusiness.com2015/12/</v>
      </c>
      <c r="B768" s="34">
        <v>4</v>
      </c>
      <c r="C768" s="34">
        <v>0</v>
      </c>
      <c r="D768" s="34">
        <v>0</v>
      </c>
      <c r="E768" s="34">
        <v>0</v>
      </c>
      <c r="F768" s="34">
        <v>301</v>
      </c>
      <c r="G768" s="34">
        <v>0</v>
      </c>
      <c r="H768" s="34"/>
      <c r="I768" s="34" t="s">
        <v>1561</v>
      </c>
      <c r="J768" s="34" t="s">
        <v>1561</v>
      </c>
      <c r="K768" s="107" t="s">
        <v>1561</v>
      </c>
      <c r="L768" s="34" t="s">
        <v>1561</v>
      </c>
    </row>
    <row r="769" spans="1:12" ht="16.5" x14ac:dyDescent="0.35">
      <c r="A769" s="110" t="str">
        <f>HYPERLINK("http://examplebusiness.com2016/05/","http://examplebusiness.com2016/05/")</f>
        <v>http://examplebusiness.com2016/05/</v>
      </c>
      <c r="B769" s="34">
        <v>4</v>
      </c>
      <c r="C769" s="34">
        <v>0</v>
      </c>
      <c r="D769" s="34">
        <v>0</v>
      </c>
      <c r="E769" s="34">
        <v>0</v>
      </c>
      <c r="F769" s="34">
        <v>301</v>
      </c>
      <c r="G769" s="34">
        <v>0</v>
      </c>
      <c r="H769" s="34"/>
      <c r="I769" s="34" t="s">
        <v>1561</v>
      </c>
      <c r="J769" s="34" t="s">
        <v>1561</v>
      </c>
      <c r="K769" s="107" t="s">
        <v>1561</v>
      </c>
      <c r="L769" s="34" t="s">
        <v>1561</v>
      </c>
    </row>
    <row r="770" spans="1:12" ht="16.5" x14ac:dyDescent="0.35">
      <c r="A770" s="110" t="str">
        <f>HYPERLINK("http://examplebusiness.com25/","http://examplebusiness.com25/")</f>
        <v>http://examplebusiness.com25/</v>
      </c>
      <c r="B770" s="34">
        <v>4</v>
      </c>
      <c r="C770" s="34">
        <v>0</v>
      </c>
      <c r="D770" s="34">
        <v>0</v>
      </c>
      <c r="E770" s="34">
        <v>0</v>
      </c>
      <c r="F770" s="34">
        <v>301</v>
      </c>
      <c r="G770" s="34">
        <v>0</v>
      </c>
      <c r="H770" s="34"/>
      <c r="I770" s="34" t="s">
        <v>1561</v>
      </c>
      <c r="J770" s="34" t="s">
        <v>1561</v>
      </c>
      <c r="K770" s="107" t="s">
        <v>1561</v>
      </c>
      <c r="L770" s="34" t="s">
        <v>1561</v>
      </c>
    </row>
    <row r="771" spans="1:12" ht="16.5" x14ac:dyDescent="0.35">
      <c r="A771" s="110" t="str">
        <f>HYPERLINK("http://examplebusiness.comabc-financial-president-talks-tax-free-529-college-savings-plans/","http://examplebusiness.comabc-financial-president-talks-tax-free-529-college-savings-plans/")</f>
        <v>http://examplebusiness.comabc-financial-president-talks-tax-free-529-college-savings-plans/</v>
      </c>
      <c r="B771" s="34">
        <v>4</v>
      </c>
      <c r="C771" s="34">
        <v>0</v>
      </c>
      <c r="D771" s="34">
        <v>0</v>
      </c>
      <c r="E771" s="34">
        <v>0</v>
      </c>
      <c r="F771" s="34">
        <v>301</v>
      </c>
      <c r="G771" s="34">
        <v>0</v>
      </c>
      <c r="H771" s="34"/>
      <c r="I771" s="34" t="s">
        <v>1561</v>
      </c>
      <c r="J771" s="34" t="s">
        <v>1561</v>
      </c>
      <c r="K771" s="107" t="s">
        <v>1561</v>
      </c>
      <c r="L771" s="34" t="s">
        <v>1561</v>
      </c>
    </row>
    <row r="772" spans="1:12" ht="16.5" x14ac:dyDescent="0.35">
      <c r="A772" s="110" t="str">
        <f>HYPERLINK("http://examplebusiness.com401k-accounts/","http://examplebusiness.com401k-accounts/")</f>
        <v>http://examplebusiness.com401k-accounts/</v>
      </c>
      <c r="B772" s="34">
        <v>4</v>
      </c>
      <c r="C772" s="34">
        <v>0</v>
      </c>
      <c r="D772" s="34">
        <v>0</v>
      </c>
      <c r="E772" s="34">
        <v>0</v>
      </c>
      <c r="F772" s="34">
        <v>301</v>
      </c>
      <c r="G772" s="34">
        <v>0</v>
      </c>
      <c r="H772" s="34"/>
      <c r="I772" s="34" t="s">
        <v>1561</v>
      </c>
      <c r="J772" s="34" t="s">
        <v>1561</v>
      </c>
      <c r="K772" s="107" t="s">
        <v>1561</v>
      </c>
      <c r="L772" s="34" t="s">
        <v>1561</v>
      </c>
    </row>
    <row r="773" spans="1:12" ht="16.5" x14ac:dyDescent="0.35">
      <c r="A773" s="110" t="str">
        <f>HYPERLINK("http://examplebusiness.com401k-rollovers/","http://examplebusiness.com401k-rollovers/")</f>
        <v>http://examplebusiness.com401k-rollovers/</v>
      </c>
      <c r="B773" s="34">
        <v>4</v>
      </c>
      <c r="C773" s="34">
        <v>0</v>
      </c>
      <c r="D773" s="34">
        <v>0</v>
      </c>
      <c r="E773" s="34">
        <v>0</v>
      </c>
      <c r="F773" s="34">
        <v>301</v>
      </c>
      <c r="G773" s="34">
        <v>0</v>
      </c>
      <c r="H773" s="34"/>
      <c r="I773" s="34" t="s">
        <v>1561</v>
      </c>
      <c r="J773" s="34" t="s">
        <v>1561</v>
      </c>
      <c r="K773" s="107" t="s">
        <v>1561</v>
      </c>
      <c r="L773" s="34" t="s">
        <v>1561</v>
      </c>
    </row>
    <row r="774" spans="1:12" ht="16.5" x14ac:dyDescent="0.35">
      <c r="A774" s="110" t="str">
        <f>HYPERLINK("http://examplebusiness.com5-biggest-mistakes-to-avoid-in-your-first-3-years-of-retirement/","http://examplebusiness.com5-biggest-mistakes-to-avoid-in-your-first-3-years-of-retirement/")</f>
        <v>http://examplebusiness.com5-biggest-mistakes-to-avoid-in-your-first-3-years-of-retirement/</v>
      </c>
      <c r="B774" s="34">
        <v>4</v>
      </c>
      <c r="C774" s="34">
        <v>0</v>
      </c>
      <c r="D774" s="34">
        <v>0</v>
      </c>
      <c r="E774" s="34">
        <v>0</v>
      </c>
      <c r="F774" s="34">
        <v>301</v>
      </c>
      <c r="G774" s="34">
        <v>0</v>
      </c>
      <c r="H774" s="34"/>
      <c r="I774" s="34" t="s">
        <v>1561</v>
      </c>
      <c r="J774" s="34" t="s">
        <v>1561</v>
      </c>
      <c r="K774" s="107" t="s">
        <v>1561</v>
      </c>
      <c r="L774" s="34" t="s">
        <v>1561</v>
      </c>
    </row>
    <row r="775" spans="1:12" ht="16.5" x14ac:dyDescent="0.35">
      <c r="A775" s="110" t="str">
        <f>HYPERLINK("http://examplebusiness.com5-essential-financial-resolutions-new-year/","http://examplebusiness.com5-essential-financial-resolutions-new-year/")</f>
        <v>http://examplebusiness.com5-essential-financial-resolutions-new-year/</v>
      </c>
      <c r="B775" s="34">
        <v>4</v>
      </c>
      <c r="C775" s="34">
        <v>0</v>
      </c>
      <c r="D775" s="34">
        <v>0</v>
      </c>
      <c r="E775" s="34">
        <v>0</v>
      </c>
      <c r="F775" s="34">
        <v>301</v>
      </c>
      <c r="G775" s="34">
        <v>0</v>
      </c>
      <c r="H775" s="34"/>
      <c r="I775" s="34" t="s">
        <v>1561</v>
      </c>
      <c r="J775" s="34" t="s">
        <v>1561</v>
      </c>
      <c r="K775" s="107" t="s">
        <v>1561</v>
      </c>
      <c r="L775" s="34" t="s">
        <v>1561</v>
      </c>
    </row>
    <row r="776" spans="1:12" ht="16.5" x14ac:dyDescent="0.35">
      <c r="A776" s="110" t="str">
        <f>HYPERLINK("http://examplebusiness.com?p=1","http://examplebusiness.com?p=1")</f>
        <v>http://examplebusiness.com?p=1</v>
      </c>
      <c r="B776" s="34">
        <v>4</v>
      </c>
      <c r="C776" s="34">
        <v>0</v>
      </c>
      <c r="D776" s="34">
        <v>0</v>
      </c>
      <c r="E776" s="34">
        <v>0</v>
      </c>
      <c r="F776" s="34">
        <v>301</v>
      </c>
      <c r="G776" s="34">
        <v>0</v>
      </c>
      <c r="H776" s="34"/>
      <c r="I776" s="34" t="s">
        <v>1561</v>
      </c>
      <c r="J776" s="34" t="s">
        <v>1561</v>
      </c>
      <c r="K776" s="107" t="s">
        <v>1561</v>
      </c>
      <c r="L776" s="34" t="s">
        <v>1561</v>
      </c>
    </row>
    <row r="777" spans="1:12" ht="16.5" x14ac:dyDescent="0.35">
      <c r="A777" s="110" t="str">
        <f>HYPERLINK("http://examplebusiness.com?p=1249","http://examplebusiness.com?p=1249")</f>
        <v>http://examplebusiness.com?p=1249</v>
      </c>
      <c r="B777" s="34">
        <v>4</v>
      </c>
      <c r="C777" s="34">
        <v>0</v>
      </c>
      <c r="D777" s="34">
        <v>0</v>
      </c>
      <c r="E777" s="34">
        <v>0</v>
      </c>
      <c r="F777" s="34">
        <v>301</v>
      </c>
      <c r="G777" s="34">
        <v>0</v>
      </c>
      <c r="H777" s="34"/>
      <c r="I777" s="34" t="s">
        <v>1561</v>
      </c>
      <c r="J777" s="34" t="s">
        <v>1561</v>
      </c>
      <c r="K777" s="107" t="s">
        <v>1561</v>
      </c>
      <c r="L777" s="34" t="s">
        <v>1561</v>
      </c>
    </row>
    <row r="778" spans="1:12" ht="16.5" x14ac:dyDescent="0.35">
      <c r="A778" s="110" t="str">
        <f>HYPERLINK("http://examplebusiness.com?p=1313","http://examplebusiness.com?p=1313")</f>
        <v>http://examplebusiness.com?p=1313</v>
      </c>
      <c r="B778" s="34">
        <v>4</v>
      </c>
      <c r="C778" s="34">
        <v>0</v>
      </c>
      <c r="D778" s="34">
        <v>0</v>
      </c>
      <c r="E778" s="34">
        <v>0</v>
      </c>
      <c r="F778" s="34">
        <v>301</v>
      </c>
      <c r="G778" s="34">
        <v>0</v>
      </c>
      <c r="H778" s="34"/>
      <c r="I778" s="34" t="s">
        <v>1561</v>
      </c>
      <c r="J778" s="34" t="s">
        <v>1561</v>
      </c>
      <c r="K778" s="107" t="s">
        <v>1561</v>
      </c>
      <c r="L778" s="34" t="s">
        <v>1561</v>
      </c>
    </row>
    <row r="779" spans="1:12" ht="16.5" x14ac:dyDescent="0.35">
      <c r="A779" s="110" t="str">
        <f>HYPERLINK("http://examplebusiness.com?p=1316","http://examplebusiness.com?p=1316")</f>
        <v>http://examplebusiness.com?p=1316</v>
      </c>
      <c r="B779" s="34">
        <v>4</v>
      </c>
      <c r="C779" s="34">
        <v>0</v>
      </c>
      <c r="D779" s="34">
        <v>0</v>
      </c>
      <c r="E779" s="34">
        <v>0</v>
      </c>
      <c r="F779" s="34">
        <v>301</v>
      </c>
      <c r="G779" s="34">
        <v>0</v>
      </c>
      <c r="H779" s="34"/>
      <c r="I779" s="34" t="s">
        <v>1561</v>
      </c>
      <c r="J779" s="34" t="s">
        <v>1561</v>
      </c>
      <c r="K779" s="107" t="s">
        <v>1561</v>
      </c>
      <c r="L779" s="34" t="s">
        <v>1561</v>
      </c>
    </row>
    <row r="780" spans="1:12" ht="16.5" x14ac:dyDescent="0.35">
      <c r="A780" s="110" t="str">
        <f>HYPERLINK("http://examplebusiness.com?p=1646","http://examplebusiness.com?p=1646")</f>
        <v>http://examplebusiness.com?p=1646</v>
      </c>
      <c r="B780" s="34">
        <v>4</v>
      </c>
      <c r="C780" s="34">
        <v>0</v>
      </c>
      <c r="D780" s="34">
        <v>0</v>
      </c>
      <c r="E780" s="34">
        <v>0</v>
      </c>
      <c r="F780" s="34">
        <v>301</v>
      </c>
      <c r="G780" s="34">
        <v>0</v>
      </c>
      <c r="H780" s="34"/>
      <c r="I780" s="34" t="s">
        <v>1561</v>
      </c>
      <c r="J780" s="34" t="s">
        <v>1561</v>
      </c>
      <c r="K780" s="107" t="s">
        <v>1561</v>
      </c>
      <c r="L780" s="34" t="s">
        <v>1561</v>
      </c>
    </row>
    <row r="781" spans="1:12" ht="16.5" x14ac:dyDescent="0.35">
      <c r="A781" s="110" t="str">
        <f>HYPERLINK("http://examplebusiness.com?p=1900","http://examplebusiness.com?p=1900")</f>
        <v>http://examplebusiness.com?p=1900</v>
      </c>
      <c r="B781" s="34">
        <v>4</v>
      </c>
      <c r="C781" s="34">
        <v>0</v>
      </c>
      <c r="D781" s="34">
        <v>0</v>
      </c>
      <c r="E781" s="34">
        <v>0</v>
      </c>
      <c r="F781" s="34">
        <v>301</v>
      </c>
      <c r="G781" s="34">
        <v>0</v>
      </c>
      <c r="H781" s="34"/>
      <c r="I781" s="34" t="s">
        <v>1561</v>
      </c>
      <c r="J781" s="34" t="s">
        <v>1561</v>
      </c>
      <c r="K781" s="107" t="s">
        <v>1561</v>
      </c>
      <c r="L781" s="34" t="s">
        <v>1561</v>
      </c>
    </row>
    <row r="782" spans="1:12" ht="16.5" x14ac:dyDescent="0.35">
      <c r="A782" s="110" t="str">
        <f>HYPERLINK("http://examplebusiness.com?p=2022","http://examplebusiness.com?p=2022")</f>
        <v>http://examplebusiness.com?p=2022</v>
      </c>
      <c r="B782" s="34">
        <v>4</v>
      </c>
      <c r="C782" s="34">
        <v>0</v>
      </c>
      <c r="D782" s="34">
        <v>0</v>
      </c>
      <c r="E782" s="34">
        <v>0</v>
      </c>
      <c r="F782" s="34">
        <v>301</v>
      </c>
      <c r="G782" s="34">
        <v>0</v>
      </c>
      <c r="H782" s="34"/>
      <c r="I782" s="34" t="s">
        <v>1561</v>
      </c>
      <c r="J782" s="34" t="s">
        <v>1561</v>
      </c>
      <c r="K782" s="107" t="s">
        <v>1561</v>
      </c>
      <c r="L782" s="34" t="s">
        <v>1561</v>
      </c>
    </row>
    <row r="783" spans="1:12" ht="16.5" x14ac:dyDescent="0.35">
      <c r="A783" s="110" t="str">
        <f>HYPERLINK("http://examplebusiness.com?p=2057","http://examplebusiness.com?p=2057")</f>
        <v>http://examplebusiness.com?p=2057</v>
      </c>
      <c r="B783" s="34">
        <v>4</v>
      </c>
      <c r="C783" s="34">
        <v>0</v>
      </c>
      <c r="D783" s="34">
        <v>0</v>
      </c>
      <c r="E783" s="34">
        <v>0</v>
      </c>
      <c r="F783" s="34">
        <v>301</v>
      </c>
      <c r="G783" s="34">
        <v>0</v>
      </c>
      <c r="H783" s="34"/>
      <c r="I783" s="34" t="s">
        <v>1561</v>
      </c>
      <c r="J783" s="34" t="s">
        <v>1561</v>
      </c>
      <c r="K783" s="107" t="s">
        <v>1561</v>
      </c>
      <c r="L783" s="34" t="s">
        <v>1561</v>
      </c>
    </row>
    <row r="784" spans="1:12" ht="16.5" x14ac:dyDescent="0.35">
      <c r="A784" s="110" t="str">
        <f>HYPERLINK("http://examplebusiness.com?p=2144","http://examplebusiness.com?p=2144")</f>
        <v>http://examplebusiness.com?p=2144</v>
      </c>
      <c r="B784" s="34">
        <v>4</v>
      </c>
      <c r="C784" s="34">
        <v>0</v>
      </c>
      <c r="D784" s="34">
        <v>0</v>
      </c>
      <c r="E784" s="34">
        <v>0</v>
      </c>
      <c r="F784" s="34">
        <v>301</v>
      </c>
      <c r="G784" s="34">
        <v>0</v>
      </c>
      <c r="H784" s="34"/>
      <c r="I784" s="34" t="s">
        <v>1561</v>
      </c>
      <c r="J784" s="34" t="s">
        <v>1561</v>
      </c>
      <c r="K784" s="107" t="s">
        <v>1561</v>
      </c>
      <c r="L784" s="34" t="s">
        <v>1561</v>
      </c>
    </row>
    <row r="785" spans="1:12" ht="16.5" x14ac:dyDescent="0.35">
      <c r="A785" s="110" t="str">
        <f>HYPERLINK("http://examplebusiness.com?p=2149","http://examplebusiness.com?p=2149")</f>
        <v>http://examplebusiness.com?p=2149</v>
      </c>
      <c r="B785" s="34">
        <v>4</v>
      </c>
      <c r="C785" s="34">
        <v>0</v>
      </c>
      <c r="D785" s="34">
        <v>0</v>
      </c>
      <c r="E785" s="34">
        <v>0</v>
      </c>
      <c r="F785" s="34">
        <v>301</v>
      </c>
      <c r="G785" s="34">
        <v>0</v>
      </c>
      <c r="H785" s="34"/>
      <c r="I785" s="34" t="s">
        <v>1561</v>
      </c>
      <c r="J785" s="34" t="s">
        <v>1561</v>
      </c>
      <c r="K785" s="107" t="s">
        <v>1561</v>
      </c>
      <c r="L785" s="34" t="s">
        <v>1561</v>
      </c>
    </row>
    <row r="786" spans="1:12" ht="16.5" x14ac:dyDescent="0.35">
      <c r="A786" s="110" t="str">
        <f>HYPERLINK("http://examplebusiness.com?p=2174","http://examplebusiness.com?p=2174")</f>
        <v>http://examplebusiness.com?p=2174</v>
      </c>
      <c r="B786" s="34">
        <v>4</v>
      </c>
      <c r="C786" s="34">
        <v>0</v>
      </c>
      <c r="D786" s="34">
        <v>0</v>
      </c>
      <c r="E786" s="34">
        <v>0</v>
      </c>
      <c r="F786" s="34">
        <v>301</v>
      </c>
      <c r="G786" s="34">
        <v>0</v>
      </c>
      <c r="H786" s="34"/>
      <c r="I786" s="34" t="s">
        <v>1561</v>
      </c>
      <c r="J786" s="34" t="s">
        <v>1561</v>
      </c>
      <c r="K786" s="107" t="s">
        <v>1561</v>
      </c>
      <c r="L786" s="34" t="s">
        <v>1561</v>
      </c>
    </row>
    <row r="787" spans="1:12" ht="16.5" x14ac:dyDescent="0.35">
      <c r="A787" s="110" t="str">
        <f>HYPERLINK("http://examplebusiness.com?p=2181","http://examplebusiness.com?p=2181")</f>
        <v>http://examplebusiness.com?p=2181</v>
      </c>
      <c r="B787" s="34">
        <v>4</v>
      </c>
      <c r="C787" s="34">
        <v>0</v>
      </c>
      <c r="D787" s="34">
        <v>0</v>
      </c>
      <c r="E787" s="34">
        <v>0</v>
      </c>
      <c r="F787" s="34">
        <v>301</v>
      </c>
      <c r="G787" s="34">
        <v>0</v>
      </c>
      <c r="H787" s="34"/>
      <c r="I787" s="34" t="s">
        <v>1561</v>
      </c>
      <c r="J787" s="34" t="s">
        <v>1561</v>
      </c>
      <c r="K787" s="107" t="s">
        <v>1561</v>
      </c>
      <c r="L787" s="34" t="s">
        <v>1561</v>
      </c>
    </row>
    <row r="788" spans="1:12" ht="16.5" x14ac:dyDescent="0.35">
      <c r="A788" s="110" t="str">
        <f>HYPERLINK("http://examplebusiness.com?p=2368","http://examplebusiness.com?p=2368")</f>
        <v>http://examplebusiness.com?p=2368</v>
      </c>
      <c r="B788" s="34">
        <v>4</v>
      </c>
      <c r="C788" s="34">
        <v>0</v>
      </c>
      <c r="D788" s="34">
        <v>0</v>
      </c>
      <c r="E788" s="34">
        <v>0</v>
      </c>
      <c r="F788" s="34">
        <v>301</v>
      </c>
      <c r="G788" s="34">
        <v>0</v>
      </c>
      <c r="H788" s="34"/>
      <c r="I788" s="34" t="s">
        <v>1561</v>
      </c>
      <c r="J788" s="34" t="s">
        <v>1561</v>
      </c>
      <c r="K788" s="107" t="s">
        <v>1561</v>
      </c>
      <c r="L788" s="34" t="s">
        <v>1561</v>
      </c>
    </row>
    <row r="789" spans="1:12" ht="16.5" x14ac:dyDescent="0.35">
      <c r="A789" s="110" t="str">
        <f>HYPERLINK("http://examplebusiness.com?p=2376","http://examplebusiness.com?p=2376")</f>
        <v>http://examplebusiness.com?p=2376</v>
      </c>
      <c r="B789" s="34">
        <v>4</v>
      </c>
      <c r="C789" s="34">
        <v>0</v>
      </c>
      <c r="D789" s="34">
        <v>0</v>
      </c>
      <c r="E789" s="34">
        <v>0</v>
      </c>
      <c r="F789" s="34">
        <v>301</v>
      </c>
      <c r="G789" s="34">
        <v>0</v>
      </c>
      <c r="H789" s="34"/>
      <c r="I789" s="34" t="s">
        <v>1561</v>
      </c>
      <c r="J789" s="34" t="s">
        <v>1561</v>
      </c>
      <c r="K789" s="107" t="s">
        <v>1561</v>
      </c>
      <c r="L789" s="34" t="s">
        <v>1561</v>
      </c>
    </row>
    <row r="790" spans="1:12" ht="16.5" x14ac:dyDescent="0.35">
      <c r="A790" s="110" t="str">
        <f>HYPERLINK("http://examplebusiness.com?p=2479","http://examplebusiness.com?p=2479")</f>
        <v>http://examplebusiness.com?p=2479</v>
      </c>
      <c r="B790" s="34">
        <v>4</v>
      </c>
      <c r="C790" s="34">
        <v>0</v>
      </c>
      <c r="D790" s="34">
        <v>0</v>
      </c>
      <c r="E790" s="34">
        <v>0</v>
      </c>
      <c r="F790" s="34">
        <v>301</v>
      </c>
      <c r="G790" s="34">
        <v>0</v>
      </c>
      <c r="H790" s="34"/>
      <c r="I790" s="34" t="s">
        <v>1561</v>
      </c>
      <c r="J790" s="34" t="s">
        <v>1561</v>
      </c>
      <c r="K790" s="107" t="s">
        <v>1561</v>
      </c>
      <c r="L790" s="34" t="s">
        <v>1561</v>
      </c>
    </row>
    <row r="791" spans="1:12" ht="16.5" x14ac:dyDescent="0.35">
      <c r="A791" s="110" t="str">
        <f>HYPERLINK("http://examplebusiness.com?p=2524","http://examplebusiness.com?p=2524")</f>
        <v>http://examplebusiness.com?p=2524</v>
      </c>
      <c r="B791" s="34">
        <v>4</v>
      </c>
      <c r="C791" s="34">
        <v>0</v>
      </c>
      <c r="D791" s="34">
        <v>0</v>
      </c>
      <c r="E791" s="34">
        <v>0</v>
      </c>
      <c r="F791" s="34">
        <v>301</v>
      </c>
      <c r="G791" s="34">
        <v>0</v>
      </c>
      <c r="H791" s="34"/>
      <c r="I791" s="34" t="s">
        <v>1561</v>
      </c>
      <c r="J791" s="34" t="s">
        <v>1561</v>
      </c>
      <c r="K791" s="107" t="s">
        <v>1561</v>
      </c>
      <c r="L791" s="34" t="s">
        <v>1561</v>
      </c>
    </row>
    <row r="792" spans="1:12" ht="16.5" x14ac:dyDescent="0.35">
      <c r="A792" s="110" t="str">
        <f>HYPERLINK("http://examplebusiness.com?p=2660","http://examplebusiness.com?p=2660")</f>
        <v>http://examplebusiness.com?p=2660</v>
      </c>
      <c r="B792" s="34">
        <v>4</v>
      </c>
      <c r="C792" s="34">
        <v>0</v>
      </c>
      <c r="D792" s="34">
        <v>0</v>
      </c>
      <c r="E792" s="34">
        <v>0</v>
      </c>
      <c r="F792" s="34">
        <v>301</v>
      </c>
      <c r="G792" s="34">
        <v>0</v>
      </c>
      <c r="H792" s="34"/>
      <c r="I792" s="34" t="s">
        <v>1561</v>
      </c>
      <c r="J792" s="34" t="s">
        <v>1561</v>
      </c>
      <c r="K792" s="107" t="s">
        <v>1561</v>
      </c>
      <c r="L792" s="34" t="s">
        <v>1561</v>
      </c>
    </row>
    <row r="793" spans="1:12" ht="16.5" x14ac:dyDescent="0.35">
      <c r="A793" s="110" t="str">
        <f>HYPERLINK("http://examplebusiness.com?p=2662","http://examplebusiness.com?p=2662")</f>
        <v>http://examplebusiness.com?p=2662</v>
      </c>
      <c r="B793" s="34">
        <v>4</v>
      </c>
      <c r="C793" s="34">
        <v>0</v>
      </c>
      <c r="D793" s="34">
        <v>0</v>
      </c>
      <c r="E793" s="34">
        <v>0</v>
      </c>
      <c r="F793" s="34">
        <v>301</v>
      </c>
      <c r="G793" s="34">
        <v>0</v>
      </c>
      <c r="H793" s="34"/>
      <c r="I793" s="34" t="s">
        <v>1561</v>
      </c>
      <c r="J793" s="34" t="s">
        <v>1561</v>
      </c>
      <c r="K793" s="107" t="s">
        <v>1561</v>
      </c>
      <c r="L793" s="34" t="s">
        <v>1561</v>
      </c>
    </row>
    <row r="794" spans="1:12" ht="16.5" x14ac:dyDescent="0.35">
      <c r="A794" s="110" t="str">
        <f>HYPERLINK("http://examplebusiness.com?p=2745","http://examplebusiness.com?p=2745")</f>
        <v>http://examplebusiness.com?p=2745</v>
      </c>
      <c r="B794" s="34">
        <v>4</v>
      </c>
      <c r="C794" s="34">
        <v>0</v>
      </c>
      <c r="D794" s="34">
        <v>0</v>
      </c>
      <c r="E794" s="34">
        <v>0</v>
      </c>
      <c r="F794" s="34">
        <v>301</v>
      </c>
      <c r="G794" s="34">
        <v>0</v>
      </c>
      <c r="H794" s="34"/>
      <c r="I794" s="34" t="s">
        <v>1561</v>
      </c>
      <c r="J794" s="34" t="s">
        <v>1561</v>
      </c>
      <c r="K794" s="107" t="s">
        <v>1561</v>
      </c>
      <c r="L794" s="34" t="s">
        <v>1561</v>
      </c>
    </row>
    <row r="795" spans="1:12" ht="16.5" x14ac:dyDescent="0.35">
      <c r="A795" s="110" t="str">
        <f>HYPERLINK("http://examplebusiness.com?p=2759","http://examplebusiness.com?p=2759")</f>
        <v>http://examplebusiness.com?p=2759</v>
      </c>
      <c r="B795" s="34">
        <v>4</v>
      </c>
      <c r="C795" s="34">
        <v>0</v>
      </c>
      <c r="D795" s="34">
        <v>0</v>
      </c>
      <c r="E795" s="34">
        <v>0</v>
      </c>
      <c r="F795" s="34">
        <v>301</v>
      </c>
      <c r="G795" s="34">
        <v>0</v>
      </c>
      <c r="H795" s="34"/>
      <c r="I795" s="34" t="s">
        <v>1561</v>
      </c>
      <c r="J795" s="34" t="s">
        <v>1561</v>
      </c>
      <c r="K795" s="107" t="s">
        <v>1561</v>
      </c>
      <c r="L795" s="34" t="s">
        <v>1561</v>
      </c>
    </row>
    <row r="796" spans="1:12" ht="16.5" x14ac:dyDescent="0.35">
      <c r="A796" s="110" t="str">
        <f>HYPERLINK("http://www.examplebusiness.com?p=283","http://www.examplebusiness.com?p=283")</f>
        <v>http://www.examplebusiness.com?p=283</v>
      </c>
      <c r="B796" s="34">
        <v>4</v>
      </c>
      <c r="C796" s="34">
        <v>0</v>
      </c>
      <c r="D796" s="34">
        <v>0</v>
      </c>
      <c r="E796" s="34">
        <v>0</v>
      </c>
      <c r="F796" s="34">
        <v>301</v>
      </c>
      <c r="G796" s="34">
        <v>0</v>
      </c>
      <c r="H796" s="34"/>
      <c r="I796" s="34" t="s">
        <v>1561</v>
      </c>
      <c r="J796" s="34" t="s">
        <v>1561</v>
      </c>
      <c r="K796" s="107" t="s">
        <v>1561</v>
      </c>
      <c r="L796" s="34" t="s">
        <v>1561</v>
      </c>
    </row>
    <row r="797" spans="1:12" ht="16.5" x14ac:dyDescent="0.35">
      <c r="A797" s="110" t="str">
        <f>HYPERLINK("http://examplebusiness.com?p=283","http://examplebusiness.com?p=283")</f>
        <v>http://examplebusiness.com?p=283</v>
      </c>
      <c r="B797" s="34">
        <v>4</v>
      </c>
      <c r="C797" s="34">
        <v>0</v>
      </c>
      <c r="D797" s="34">
        <v>0</v>
      </c>
      <c r="E797" s="34">
        <v>0</v>
      </c>
      <c r="F797" s="34">
        <v>301</v>
      </c>
      <c r="G797" s="34">
        <v>0</v>
      </c>
      <c r="H797" s="34"/>
      <c r="I797" s="34" t="s">
        <v>1561</v>
      </c>
      <c r="J797" s="34" t="s">
        <v>1561</v>
      </c>
      <c r="K797" s="107" t="s">
        <v>1561</v>
      </c>
      <c r="L797" s="34" t="s">
        <v>1561</v>
      </c>
    </row>
    <row r="798" spans="1:12" ht="16.5" x14ac:dyDescent="0.35">
      <c r="A798" s="110" t="str">
        <f>HYPERLINK("http://examplebusiness.com?p=31","http://examplebusiness.com?p=31")</f>
        <v>http://examplebusiness.com?p=31</v>
      </c>
      <c r="B798" s="34">
        <v>4</v>
      </c>
      <c r="C798" s="34">
        <v>0</v>
      </c>
      <c r="D798" s="34">
        <v>0</v>
      </c>
      <c r="E798" s="34">
        <v>0</v>
      </c>
      <c r="F798" s="34">
        <v>301</v>
      </c>
      <c r="G798" s="34">
        <v>0</v>
      </c>
      <c r="H798" s="34"/>
      <c r="I798" s="34" t="s">
        <v>1561</v>
      </c>
      <c r="J798" s="34" t="s">
        <v>1561</v>
      </c>
      <c r="K798" s="107" t="s">
        <v>1561</v>
      </c>
      <c r="L798" s="34" t="s">
        <v>1561</v>
      </c>
    </row>
    <row r="799" spans="1:12" ht="16.5" x14ac:dyDescent="0.35">
      <c r="A799" s="110" t="str">
        <f>HYPERLINK("http://examplebusiness.com?p=55","http://examplebusiness.com?p=55")</f>
        <v>http://examplebusiness.com?p=55</v>
      </c>
      <c r="B799" s="34">
        <v>4</v>
      </c>
      <c r="C799" s="34">
        <v>0</v>
      </c>
      <c r="D799" s="34">
        <v>0</v>
      </c>
      <c r="E799" s="34">
        <v>0</v>
      </c>
      <c r="F799" s="34">
        <v>301</v>
      </c>
      <c r="G799" s="34">
        <v>0</v>
      </c>
      <c r="H799" s="34"/>
      <c r="I799" s="34" t="s">
        <v>1561</v>
      </c>
      <c r="J799" s="34" t="s">
        <v>1561</v>
      </c>
      <c r="K799" s="107" t="s">
        <v>1561</v>
      </c>
      <c r="L799" s="34" t="s">
        <v>1561</v>
      </c>
    </row>
    <row r="800" spans="1:12" ht="16.5" x14ac:dyDescent="0.35">
      <c r="A800" s="110" t="str">
        <f>HYPERLINK("http://examplebusiness.com?p=61","http://examplebusiness.com?p=61")</f>
        <v>http://examplebusiness.com?p=61</v>
      </c>
      <c r="B800" s="34">
        <v>4</v>
      </c>
      <c r="C800" s="34">
        <v>0</v>
      </c>
      <c r="D800" s="34">
        <v>0</v>
      </c>
      <c r="E800" s="34">
        <v>0</v>
      </c>
      <c r="F800" s="34">
        <v>301</v>
      </c>
      <c r="G800" s="34">
        <v>0</v>
      </c>
      <c r="H800" s="34"/>
      <c r="I800" s="34" t="s">
        <v>1561</v>
      </c>
      <c r="J800" s="34" t="s">
        <v>1561</v>
      </c>
      <c r="K800" s="107" t="s">
        <v>1561</v>
      </c>
      <c r="L800" s="34" t="s">
        <v>1561</v>
      </c>
    </row>
    <row r="801" spans="1:12" ht="16.5" x14ac:dyDescent="0.35">
      <c r="A801" s="110" t="str">
        <f>HYPERLINK("http://examplebusiness.com?p=626","http://examplebusiness.com?p=626")</f>
        <v>http://examplebusiness.com?p=626</v>
      </c>
      <c r="B801" s="34">
        <v>4</v>
      </c>
      <c r="C801" s="34">
        <v>0</v>
      </c>
      <c r="D801" s="34">
        <v>0</v>
      </c>
      <c r="E801" s="34">
        <v>0</v>
      </c>
      <c r="F801" s="34">
        <v>301</v>
      </c>
      <c r="G801" s="34">
        <v>0</v>
      </c>
      <c r="H801" s="34"/>
      <c r="I801" s="34" t="s">
        <v>1561</v>
      </c>
      <c r="J801" s="34" t="s">
        <v>1561</v>
      </c>
      <c r="K801" s="107" t="s">
        <v>1561</v>
      </c>
      <c r="L801" s="34" t="s">
        <v>1561</v>
      </c>
    </row>
    <row r="802" spans="1:12" ht="16.5" x14ac:dyDescent="0.35">
      <c r="A802" s="110" t="str">
        <f>HYPERLINK("http://www.examplebusiness.com?p=660","http://www.examplebusiness.com?p=660")</f>
        <v>http://www.examplebusiness.com?p=660</v>
      </c>
      <c r="B802" s="34">
        <v>4</v>
      </c>
      <c r="C802" s="34">
        <v>0</v>
      </c>
      <c r="D802" s="34">
        <v>0</v>
      </c>
      <c r="E802" s="34">
        <v>0</v>
      </c>
      <c r="F802" s="34">
        <v>301</v>
      </c>
      <c r="G802" s="34">
        <v>0</v>
      </c>
      <c r="H802" s="34"/>
      <c r="I802" s="34" t="s">
        <v>1561</v>
      </c>
      <c r="J802" s="34" t="s">
        <v>1561</v>
      </c>
      <c r="K802" s="107" t="s">
        <v>1561</v>
      </c>
      <c r="L802" s="34" t="s">
        <v>1561</v>
      </c>
    </row>
    <row r="803" spans="1:12" ht="16.5" x14ac:dyDescent="0.35">
      <c r="A803" s="110" t="str">
        <f>HYPERLINK("http://examplebusiness.com?p=660","http://examplebusiness.com?p=660")</f>
        <v>http://examplebusiness.com?p=660</v>
      </c>
      <c r="B803" s="34">
        <v>4</v>
      </c>
      <c r="C803" s="34">
        <v>0</v>
      </c>
      <c r="D803" s="34">
        <v>0</v>
      </c>
      <c r="E803" s="34">
        <v>0</v>
      </c>
      <c r="F803" s="34">
        <v>301</v>
      </c>
      <c r="G803" s="34">
        <v>0</v>
      </c>
      <c r="H803" s="34"/>
      <c r="I803" s="34" t="s">
        <v>1561</v>
      </c>
      <c r="J803" s="34" t="s">
        <v>1561</v>
      </c>
      <c r="K803" s="107" t="s">
        <v>1561</v>
      </c>
      <c r="L803" s="34" t="s">
        <v>1561</v>
      </c>
    </row>
    <row r="804" spans="1:12" ht="16.5" x14ac:dyDescent="0.35">
      <c r="A804" s="110" t="str">
        <f>HYPERLINK("http://www.examplebusiness.com?p=67","http://www.examplebusiness.com?p=67")</f>
        <v>http://www.examplebusiness.com?p=67</v>
      </c>
      <c r="B804" s="34">
        <v>4</v>
      </c>
      <c r="C804" s="34">
        <v>0</v>
      </c>
      <c r="D804" s="34">
        <v>0</v>
      </c>
      <c r="E804" s="34">
        <v>0</v>
      </c>
      <c r="F804" s="34">
        <v>301</v>
      </c>
      <c r="G804" s="34">
        <v>0</v>
      </c>
      <c r="H804" s="34"/>
      <c r="I804" s="34" t="s">
        <v>1561</v>
      </c>
      <c r="J804" s="34" t="s">
        <v>1561</v>
      </c>
      <c r="K804" s="107" t="s">
        <v>1561</v>
      </c>
      <c r="L804" s="34" t="s">
        <v>1561</v>
      </c>
    </row>
    <row r="805" spans="1:12" ht="16.5" x14ac:dyDescent="0.35">
      <c r="A805" s="110" t="str">
        <f>HYPERLINK("http://www.examplebusiness.com?p=692","http://www.examplebusiness.com?p=692")</f>
        <v>http://www.examplebusiness.com?p=692</v>
      </c>
      <c r="B805" s="34">
        <v>4</v>
      </c>
      <c r="C805" s="34">
        <v>0</v>
      </c>
      <c r="D805" s="34">
        <v>0</v>
      </c>
      <c r="E805" s="34">
        <v>0</v>
      </c>
      <c r="F805" s="34">
        <v>301</v>
      </c>
      <c r="G805" s="34">
        <v>0</v>
      </c>
      <c r="H805" s="34"/>
      <c r="I805" s="34" t="s">
        <v>1561</v>
      </c>
      <c r="J805" s="34" t="s">
        <v>1561</v>
      </c>
      <c r="K805" s="107" t="s">
        <v>1561</v>
      </c>
      <c r="L805" s="34" t="s">
        <v>1561</v>
      </c>
    </row>
    <row r="806" spans="1:12" ht="16.5" x14ac:dyDescent="0.35">
      <c r="A806" s="110" t="str">
        <f>HYPERLINK("http://examplebusiness.com?p=738","http://examplebusiness.com?p=738")</f>
        <v>http://examplebusiness.com?p=738</v>
      </c>
      <c r="B806" s="34">
        <v>4</v>
      </c>
      <c r="C806" s="34">
        <v>0</v>
      </c>
      <c r="D806" s="34">
        <v>0</v>
      </c>
      <c r="E806" s="34">
        <v>0</v>
      </c>
      <c r="F806" s="34">
        <v>301</v>
      </c>
      <c r="G806" s="34">
        <v>0</v>
      </c>
      <c r="H806" s="34"/>
      <c r="I806" s="34" t="s">
        <v>1561</v>
      </c>
      <c r="J806" s="34" t="s">
        <v>1561</v>
      </c>
      <c r="K806" s="107" t="s">
        <v>1561</v>
      </c>
      <c r="L806" s="34" t="s">
        <v>1561</v>
      </c>
    </row>
    <row r="807" spans="1:12" ht="16.5" x14ac:dyDescent="0.35">
      <c r="A807" s="110" t="str">
        <f>HYPERLINK("http://examplebusiness.com?p=740","http://examplebusiness.com?p=740")</f>
        <v>http://examplebusiness.com?p=740</v>
      </c>
      <c r="B807" s="34">
        <v>4</v>
      </c>
      <c r="C807" s="34">
        <v>0</v>
      </c>
      <c r="D807" s="34">
        <v>0</v>
      </c>
      <c r="E807" s="34">
        <v>0</v>
      </c>
      <c r="F807" s="34">
        <v>301</v>
      </c>
      <c r="G807" s="34">
        <v>0</v>
      </c>
      <c r="H807" s="34"/>
      <c r="I807" s="34" t="s">
        <v>1561</v>
      </c>
      <c r="J807" s="34" t="s">
        <v>1561</v>
      </c>
      <c r="K807" s="107" t="s">
        <v>1561</v>
      </c>
      <c r="L807" s="34" t="s">
        <v>1561</v>
      </c>
    </row>
    <row r="808" spans="1:12" ht="16.5" x14ac:dyDescent="0.35">
      <c r="A808" s="110" t="str">
        <f>HYPERLINK("http://examplebusiness.com?p=746","http://examplebusiness.com?p=746")</f>
        <v>http://examplebusiness.com?p=746</v>
      </c>
      <c r="B808" s="34">
        <v>4</v>
      </c>
      <c r="C808" s="34">
        <v>0</v>
      </c>
      <c r="D808" s="34">
        <v>0</v>
      </c>
      <c r="E808" s="34">
        <v>0</v>
      </c>
      <c r="F808" s="34">
        <v>301</v>
      </c>
      <c r="G808" s="34">
        <v>0</v>
      </c>
      <c r="H808" s="34"/>
      <c r="I808" s="34" t="s">
        <v>1561</v>
      </c>
      <c r="J808" s="34" t="s">
        <v>1561</v>
      </c>
      <c r="K808" s="107" t="s">
        <v>1561</v>
      </c>
      <c r="L808" s="34" t="s">
        <v>1561</v>
      </c>
    </row>
    <row r="809" spans="1:12" ht="16.5" x14ac:dyDescent="0.35">
      <c r="A809" s="110" t="str">
        <f>HYPERLINK("http://examplebusiness.com?p=758","http://examplebusiness.com?p=758")</f>
        <v>http://examplebusiness.com?p=758</v>
      </c>
      <c r="B809" s="34">
        <v>4</v>
      </c>
      <c r="C809" s="34">
        <v>0</v>
      </c>
      <c r="D809" s="34">
        <v>0</v>
      </c>
      <c r="E809" s="34">
        <v>0</v>
      </c>
      <c r="F809" s="34">
        <v>301</v>
      </c>
      <c r="G809" s="34">
        <v>0</v>
      </c>
      <c r="H809" s="34"/>
      <c r="I809" s="34" t="s">
        <v>1561</v>
      </c>
      <c r="J809" s="34" t="s">
        <v>1561</v>
      </c>
      <c r="K809" s="107" t="s">
        <v>1561</v>
      </c>
      <c r="L809" s="34" t="s">
        <v>1561</v>
      </c>
    </row>
    <row r="810" spans="1:12" ht="16.5" x14ac:dyDescent="0.35">
      <c r="A810" s="110" t="str">
        <f>HYPERLINK("http://examplebusiness.com?p=760","http://examplebusiness.com?p=760")</f>
        <v>http://examplebusiness.com?p=760</v>
      </c>
      <c r="B810" s="34">
        <v>4</v>
      </c>
      <c r="C810" s="34">
        <v>0</v>
      </c>
      <c r="D810" s="34">
        <v>0</v>
      </c>
      <c r="E810" s="34">
        <v>0</v>
      </c>
      <c r="F810" s="34">
        <v>301</v>
      </c>
      <c r="G810" s="34">
        <v>0</v>
      </c>
      <c r="H810" s="34"/>
      <c r="I810" s="34" t="s">
        <v>1561</v>
      </c>
      <c r="J810" s="34" t="s">
        <v>1561</v>
      </c>
      <c r="K810" s="107" t="s">
        <v>1561</v>
      </c>
      <c r="L810" s="34" t="s">
        <v>1561</v>
      </c>
    </row>
    <row r="811" spans="1:12" ht="16.5" x14ac:dyDescent="0.35">
      <c r="A811" s="110" t="str">
        <f>HYPERLINK("http://examplebusiness.com?p=764","http://examplebusiness.com?p=764")</f>
        <v>http://examplebusiness.com?p=764</v>
      </c>
      <c r="B811" s="34">
        <v>4</v>
      </c>
      <c r="C811" s="34">
        <v>0</v>
      </c>
      <c r="D811" s="34">
        <v>0</v>
      </c>
      <c r="E811" s="34">
        <v>0</v>
      </c>
      <c r="F811" s="34">
        <v>301</v>
      </c>
      <c r="G811" s="34">
        <v>0</v>
      </c>
      <c r="H811" s="34"/>
      <c r="I811" s="34" t="s">
        <v>1561</v>
      </c>
      <c r="J811" s="34" t="s">
        <v>1561</v>
      </c>
      <c r="K811" s="107" t="s">
        <v>1561</v>
      </c>
      <c r="L811" s="34" t="s">
        <v>1561</v>
      </c>
    </row>
    <row r="812" spans="1:12" ht="16.5" x14ac:dyDescent="0.35">
      <c r="A812" s="110" t="str">
        <f>HYPERLINK("http://examplebusiness.com?p=771","http://examplebusiness.com?p=771")</f>
        <v>http://examplebusiness.com?p=771</v>
      </c>
      <c r="B812" s="34">
        <v>4</v>
      </c>
      <c r="C812" s="34">
        <v>0</v>
      </c>
      <c r="D812" s="34">
        <v>0</v>
      </c>
      <c r="E812" s="34">
        <v>0</v>
      </c>
      <c r="F812" s="34">
        <v>301</v>
      </c>
      <c r="G812" s="34">
        <v>0</v>
      </c>
      <c r="H812" s="34"/>
      <c r="I812" s="34" t="s">
        <v>1561</v>
      </c>
      <c r="J812" s="34" t="s">
        <v>1561</v>
      </c>
      <c r="K812" s="107" t="s">
        <v>1561</v>
      </c>
      <c r="L812" s="34" t="s">
        <v>1561</v>
      </c>
    </row>
    <row r="813" spans="1:12" ht="16.5" x14ac:dyDescent="0.35">
      <c r="A813" s="110" t="str">
        <f>HYPERLINK("http://examplebusiness.com?p=773","http://examplebusiness.com?p=773")</f>
        <v>http://examplebusiness.com?p=773</v>
      </c>
      <c r="B813" s="34">
        <v>4</v>
      </c>
      <c r="C813" s="34">
        <v>0</v>
      </c>
      <c r="D813" s="34">
        <v>0</v>
      </c>
      <c r="E813" s="34">
        <v>0</v>
      </c>
      <c r="F813" s="34">
        <v>301</v>
      </c>
      <c r="G813" s="34">
        <v>0</v>
      </c>
      <c r="H813" s="34"/>
      <c r="I813" s="34" t="s">
        <v>1561</v>
      </c>
      <c r="J813" s="34" t="s">
        <v>1561</v>
      </c>
      <c r="K813" s="107" t="s">
        <v>1561</v>
      </c>
      <c r="L813" s="34" t="s">
        <v>1561</v>
      </c>
    </row>
    <row r="814" spans="1:12" ht="16.5" x14ac:dyDescent="0.35">
      <c r="A814" s="110" t="str">
        <f>HYPERLINK("http://www.examplebusiness.com?page_id=80","http://www.examplebusiness.com?page_id=80")</f>
        <v>http://www.examplebusiness.com?page_id=80</v>
      </c>
      <c r="B814" s="34">
        <v>4</v>
      </c>
      <c r="C814" s="34">
        <v>0</v>
      </c>
      <c r="D814" s="34">
        <v>0</v>
      </c>
      <c r="E814" s="34">
        <v>0</v>
      </c>
      <c r="F814" s="34">
        <v>301</v>
      </c>
      <c r="G814" s="34">
        <v>0</v>
      </c>
      <c r="H814" s="34"/>
      <c r="I814" s="34" t="s">
        <v>1561</v>
      </c>
      <c r="J814" s="34" t="s">
        <v>1561</v>
      </c>
      <c r="K814" s="107" t="s">
        <v>1561</v>
      </c>
      <c r="L814" s="34" t="s">
        <v>1561</v>
      </c>
    </row>
    <row r="815" spans="1:12" ht="16.5" x14ac:dyDescent="0.35">
      <c r="A815" s="110" t="str">
        <f>HYPERLINK("http://examplebusiness.com?page_id=80","http://examplebusiness.com?page_id=80")</f>
        <v>http://examplebusiness.com?page_id=80</v>
      </c>
      <c r="B815" s="34">
        <v>4</v>
      </c>
      <c r="C815" s="34">
        <v>0</v>
      </c>
      <c r="D815" s="34">
        <v>0</v>
      </c>
      <c r="E815" s="34">
        <v>0</v>
      </c>
      <c r="F815" s="34">
        <v>301</v>
      </c>
      <c r="G815" s="34">
        <v>0</v>
      </c>
      <c r="H815" s="34"/>
      <c r="I815" s="34" t="s">
        <v>1561</v>
      </c>
      <c r="J815" s="34" t="s">
        <v>1561</v>
      </c>
      <c r="K815" s="107" t="s">
        <v>1561</v>
      </c>
      <c r="L815" s="34" t="s">
        <v>1561</v>
      </c>
    </row>
    <row r="816" spans="1:12" ht="16.5" x14ac:dyDescent="0.35">
      <c r="A816" s="110" t="str">
        <f>HYPERLINK("https://www.examplebusiness.com/?redirectUrl=/p/financial-planning","https://www.examplebusiness.com/?redirectUrl=/p/financial-planning")</f>
        <v>https://www.examplebusiness.com/?redirectUrl=/p/financial-planning</v>
      </c>
      <c r="B816" s="34">
        <v>4</v>
      </c>
      <c r="C816" s="34">
        <v>0</v>
      </c>
      <c r="D816" s="34">
        <v>0</v>
      </c>
      <c r="E816" s="34">
        <v>0</v>
      </c>
      <c r="F816" s="34">
        <v>200</v>
      </c>
      <c r="G816" s="34">
        <v>0</v>
      </c>
      <c r="H816" s="34"/>
      <c r="I816" s="34" t="s">
        <v>1561</v>
      </c>
      <c r="J816" s="34" t="s">
        <v>1561</v>
      </c>
      <c r="K816" s="107" t="s">
        <v>1561</v>
      </c>
      <c r="L816" s="34" t="s">
        <v>1561</v>
      </c>
    </row>
    <row r="817" spans="1:12" ht="16.5" x14ac:dyDescent="0.35">
      <c r="A817" s="110" t="str">
        <f>HYPERLINK("https://www.examplebusiness.com/?redirectUrl=/p/minneapolis-retirement-planning-firm","https://www.examplebusiness.com/?redirectUrl=/p/minneapolis-retirement-planning-firm")</f>
        <v>https://www.examplebusiness.com/?redirectUrl=/p/minneapolis-retirement-planning-firm</v>
      </c>
      <c r="B817" s="34">
        <v>4</v>
      </c>
      <c r="C817" s="34">
        <v>0</v>
      </c>
      <c r="D817" s="34">
        <v>0</v>
      </c>
      <c r="E817" s="34">
        <v>0</v>
      </c>
      <c r="F817" s="34">
        <v>200</v>
      </c>
      <c r="G817" s="34">
        <v>0</v>
      </c>
      <c r="H817" s="34"/>
      <c r="I817" s="34" t="s">
        <v>1561</v>
      </c>
      <c r="J817" s="34" t="s">
        <v>1561</v>
      </c>
      <c r="K817" s="107" t="s">
        <v>1561</v>
      </c>
      <c r="L817" s="34" t="s">
        <v>1561</v>
      </c>
    </row>
    <row r="818" spans="1:12" ht="16.5" x14ac:dyDescent="0.35">
      <c r="A818" s="110" t="str">
        <f>HYPERLINK("https://www.examplebusiness.com/?redirectUrl=/resource-center/lifestyle/best-vacations-by-car-by-ship-by-foot-once-in-a-lifetime","https://www.examplebusiness.com/?redirectUrl=/resource-center/lifestyle/best-vacations-by-car-by-ship-by-foot-once-in-a-lifetime")</f>
        <v>https://www.examplebusiness.com/?redirectUrl=/resource-center/lifestyle/best-vacations-by-car-by-ship-by-foot-once-in-a-lifetime</v>
      </c>
      <c r="B818" s="34">
        <v>4</v>
      </c>
      <c r="C818" s="34">
        <v>0</v>
      </c>
      <c r="D818" s="34">
        <v>0</v>
      </c>
      <c r="E818" s="34">
        <v>0</v>
      </c>
      <c r="F818" s="34">
        <v>200</v>
      </c>
      <c r="G818" s="34">
        <v>0</v>
      </c>
      <c r="H818" s="34"/>
      <c r="I818" s="34" t="s">
        <v>1561</v>
      </c>
      <c r="J818" s="34" t="s">
        <v>1561</v>
      </c>
      <c r="K818" s="107" t="s">
        <v>1561</v>
      </c>
      <c r="L818" s="34" t="s">
        <v>1561</v>
      </c>
    </row>
    <row r="819" spans="1:12" ht="16.5" x14ac:dyDescent="0.35">
      <c r="A819" s="110" t="str">
        <f>HYPERLINK("https://www.examplebusiness.com/?redirectUrl=/resource-center/lifestyle/saving-on-fitness-membership-costs","https://www.examplebusiness.com/?redirectUrl=/resource-center/lifestyle/saving-on-fitness-membership-costs")</f>
        <v>https://www.examplebusiness.com/?redirectUrl=/resource-center/lifestyle/saving-on-fitness-membership-costs</v>
      </c>
      <c r="B819" s="34">
        <v>4</v>
      </c>
      <c r="C819" s="34">
        <v>0</v>
      </c>
      <c r="D819" s="34">
        <v>0</v>
      </c>
      <c r="E819" s="34">
        <v>0</v>
      </c>
      <c r="F819" s="34">
        <v>200</v>
      </c>
      <c r="G819" s="34">
        <v>0</v>
      </c>
      <c r="H819" s="34"/>
      <c r="I819" s="34" t="s">
        <v>1561</v>
      </c>
      <c r="J819" s="34" t="s">
        <v>1561</v>
      </c>
      <c r="K819" s="107" t="s">
        <v>1561</v>
      </c>
      <c r="L819" s="34" t="s">
        <v>1561</v>
      </c>
    </row>
    <row r="820" spans="1:12" ht="16.5" x14ac:dyDescent="0.35">
      <c r="A820" s="110" t="str">
        <f>HYPERLINK("http://examplebusiness.com?s=%7Bsearch_term_string%7D","http://examplebusiness.com?s=%7Bsearch_term_string%7D")</f>
        <v>http://examplebusiness.com?s=%7Bsearch_term_string%7D</v>
      </c>
      <c r="B820" s="34">
        <v>4</v>
      </c>
      <c r="C820" s="34">
        <v>0</v>
      </c>
      <c r="D820" s="34">
        <v>0</v>
      </c>
      <c r="E820" s="34">
        <v>0</v>
      </c>
      <c r="F820" s="34">
        <v>301</v>
      </c>
      <c r="G820" s="34">
        <v>0</v>
      </c>
      <c r="H820" s="34"/>
      <c r="I820" s="34" t="s">
        <v>1561</v>
      </c>
      <c r="J820" s="34" t="s">
        <v>1561</v>
      </c>
      <c r="K820" s="107" t="s">
        <v>1561</v>
      </c>
      <c r="L820" s="34" t="s">
        <v>1561</v>
      </c>
    </row>
    <row r="821" spans="1:12" ht="16.5" x14ac:dyDescent="0.35">
      <c r="A821" s="110" t="str">
        <f>HYPERLINK("http://examplebusiness.com_styles/Site/ssSite__.css","http://examplebusiness.com_styles/Site/ssSite__.css")</f>
        <v>http://examplebusiness.com_styles/Site/ssSite__.css</v>
      </c>
      <c r="B821" s="34">
        <v>4</v>
      </c>
      <c r="C821" s="34">
        <v>0</v>
      </c>
      <c r="D821" s="34">
        <v>0</v>
      </c>
      <c r="E821" s="34">
        <v>0</v>
      </c>
      <c r="F821" s="34">
        <v>301</v>
      </c>
      <c r="G821" s="34">
        <v>0</v>
      </c>
      <c r="H821" s="34"/>
      <c r="I821" s="34" t="s">
        <v>1561</v>
      </c>
      <c r="J821" s="34" t="s">
        <v>1561</v>
      </c>
      <c r="K821" s="107" t="s">
        <v>1561</v>
      </c>
      <c r="L821" s="34" t="s">
        <v>1561</v>
      </c>
    </row>
    <row r="822" spans="1:12" ht="16.5" x14ac:dyDescent="0.35">
      <c r="A822" s="110" t="str">
        <f>HYPERLINK("http://www.examplebusiness.com_styles/Site/ssSite__.css","http://www.examplebusiness.com_styles/Site/ssSite__.css")</f>
        <v>http://www.examplebusiness.com_styles/Site/ssSite__.css</v>
      </c>
      <c r="B822" s="34">
        <v>4</v>
      </c>
      <c r="C822" s="34">
        <v>0</v>
      </c>
      <c r="D822" s="34">
        <v>0</v>
      </c>
      <c r="E822" s="34">
        <v>0</v>
      </c>
      <c r="F822" s="34">
        <v>301</v>
      </c>
      <c r="G822" s="34">
        <v>0</v>
      </c>
      <c r="H822" s="34"/>
      <c r="I822" s="34" t="s">
        <v>1561</v>
      </c>
      <c r="J822" s="34" t="s">
        <v>1561</v>
      </c>
      <c r="K822" s="107" t="s">
        <v>1561</v>
      </c>
      <c r="L822" s="34" t="s">
        <v>1561</v>
      </c>
    </row>
    <row r="823" spans="1:12" ht="16.5" x14ac:dyDescent="0.35">
      <c r="A823" s="110" t="str">
        <f>HYPERLINK("http://www.examplebusiness.com_uploads/2013FiveStarVertical.jpg","http://www.examplebusiness.com_uploads/2013FiveStarVertical.jpg")</f>
        <v>http://www.examplebusiness.com_uploads/2013FiveStarVertical.jpg</v>
      </c>
      <c r="B823" s="34">
        <v>4</v>
      </c>
      <c r="C823" s="34">
        <v>0</v>
      </c>
      <c r="D823" s="34">
        <v>0</v>
      </c>
      <c r="E823" s="34">
        <v>0</v>
      </c>
      <c r="F823" s="34">
        <v>301</v>
      </c>
      <c r="G823" s="34">
        <v>0</v>
      </c>
      <c r="H823" s="34"/>
      <c r="I823" s="34" t="s">
        <v>1561</v>
      </c>
      <c r="J823" s="34" t="s">
        <v>1561</v>
      </c>
      <c r="K823" s="107" t="s">
        <v>1561</v>
      </c>
      <c r="L823" s="34" t="s">
        <v>1561</v>
      </c>
    </row>
    <row r="824" spans="1:12" ht="16.5" x14ac:dyDescent="0.35">
      <c r="A824" s="110" t="str">
        <f>HYPERLINK("http://www.examplebusiness.com_uploads/abc-101310.swf","http://www.examplebusiness.com_uploads/abc-101310.swf")</f>
        <v>http://www.examplebusiness.com_uploads/abc-101310.swf</v>
      </c>
      <c r="B824" s="34">
        <v>4</v>
      </c>
      <c r="C824" s="34">
        <v>0</v>
      </c>
      <c r="D824" s="34">
        <v>0</v>
      </c>
      <c r="E824" s="34">
        <v>0</v>
      </c>
      <c r="F824" s="34">
        <v>301</v>
      </c>
      <c r="G824" s="34">
        <v>0</v>
      </c>
      <c r="H824" s="34"/>
      <c r="I824" s="34" t="s">
        <v>1561</v>
      </c>
      <c r="J824" s="34" t="s">
        <v>1561</v>
      </c>
      <c r="K824" s="107" t="s">
        <v>1561</v>
      </c>
      <c r="L824" s="34" t="s">
        <v>1561</v>
      </c>
    </row>
    <row r="825" spans="1:12" ht="16.5" x14ac:dyDescent="0.35">
      <c r="A825" s="110" t="str">
        <f>HYPERLINK("http://www.examplebusiness.com_uploads/facebook_logo_sm.gif","http://www.examplebusiness.com_uploads/facebook_logo_sm.gif")</f>
        <v>http://www.examplebusiness.com_uploads/facebook_logo_sm.gif</v>
      </c>
      <c r="B825" s="34">
        <v>4</v>
      </c>
      <c r="C825" s="34">
        <v>0</v>
      </c>
      <c r="D825" s="34">
        <v>0</v>
      </c>
      <c r="E825" s="34">
        <v>0</v>
      </c>
      <c r="F825" s="34">
        <v>301</v>
      </c>
      <c r="G825" s="34">
        <v>0</v>
      </c>
      <c r="H825" s="34"/>
      <c r="I825" s="34" t="s">
        <v>1561</v>
      </c>
      <c r="J825" s="34" t="s">
        <v>1561</v>
      </c>
      <c r="K825" s="107" t="s">
        <v>1561</v>
      </c>
      <c r="L825" s="34" t="s">
        <v>1561</v>
      </c>
    </row>
    <row r="826" spans="1:12" ht="16.5" x14ac:dyDescent="0.35">
      <c r="A826" s="110" t="str">
        <f>HYPERLINK("http://www.examplebusiness.com_uploads/fox_9_logo.bmp","http://www.examplebusiness.com_uploads/fox_9_logo.bmp")</f>
        <v>http://www.examplebusiness.com_uploads/fox_9_logo.bmp</v>
      </c>
      <c r="B826" s="34">
        <v>4</v>
      </c>
      <c r="C826" s="34">
        <v>0</v>
      </c>
      <c r="D826" s="34">
        <v>0</v>
      </c>
      <c r="E826" s="34">
        <v>0</v>
      </c>
      <c r="F826" s="34">
        <v>301</v>
      </c>
      <c r="G826" s="34">
        <v>0</v>
      </c>
      <c r="H826" s="34"/>
      <c r="I826" s="34" t="s">
        <v>1561</v>
      </c>
      <c r="J826" s="34" t="s">
        <v>1561</v>
      </c>
      <c r="K826" s="107" t="s">
        <v>1561</v>
      </c>
      <c r="L826" s="34" t="s">
        <v>1561</v>
      </c>
    </row>
    <row r="827" spans="1:12" ht="16.5" x14ac:dyDescent="0.35">
      <c r="A827" s="110" t="str">
        <f>HYPERLINK("http://www.examplebusiness.com_uploads/linkedin_logo_sm.gif","http://www.examplebusiness.com_uploads/linkedin_logo_sm.gif")</f>
        <v>http://www.examplebusiness.com_uploads/linkedin_logo_sm.gif</v>
      </c>
      <c r="B827" s="34">
        <v>4</v>
      </c>
      <c r="C827" s="34">
        <v>0</v>
      </c>
      <c r="D827" s="34">
        <v>0</v>
      </c>
      <c r="E827" s="34">
        <v>0</v>
      </c>
      <c r="F827" s="34">
        <v>301</v>
      </c>
      <c r="G827" s="34">
        <v>0</v>
      </c>
      <c r="H827" s="34"/>
      <c r="I827" s="34" t="s">
        <v>1561</v>
      </c>
      <c r="J827" s="34" t="s">
        <v>1561</v>
      </c>
      <c r="K827" s="107" t="s">
        <v>1561</v>
      </c>
      <c r="L827" s="34" t="s">
        <v>1561</v>
      </c>
    </row>
    <row r="828" spans="1:12" ht="16.5" x14ac:dyDescent="0.35">
      <c r="A828" s="110" t="str">
        <f>HYPERLINK("http://www.examplebusiness.com_uploads/logo_for_website.JPG","http://www.examplebusiness.com_uploads/logo_for_website.JPG")</f>
        <v>http://www.examplebusiness.com_uploads/logo_for_website.JPG</v>
      </c>
      <c r="B828" s="34">
        <v>4</v>
      </c>
      <c r="C828" s="34">
        <v>0</v>
      </c>
      <c r="D828" s="34">
        <v>0</v>
      </c>
      <c r="E828" s="34">
        <v>0</v>
      </c>
      <c r="F828" s="34">
        <v>301</v>
      </c>
      <c r="G828" s="34">
        <v>0</v>
      </c>
      <c r="H828" s="34"/>
      <c r="I828" s="34" t="s">
        <v>1561</v>
      </c>
      <c r="J828" s="34" t="s">
        <v>1561</v>
      </c>
      <c r="K828" s="107" t="s">
        <v>1561</v>
      </c>
      <c r="L828" s="34" t="s">
        <v>1561</v>
      </c>
    </row>
    <row r="829" spans="1:12" ht="16.5" x14ac:dyDescent="0.35">
      <c r="A829" s="110" t="str">
        <f>HYPERLINK("http://www.examplebusiness.com_uploads/webinars_head.gif","http://www.examplebusiness.com_uploads/webinars_head.gif")</f>
        <v>http://www.examplebusiness.com_uploads/webinars_head.gif</v>
      </c>
      <c r="B829" s="34">
        <v>4</v>
      </c>
      <c r="C829" s="34">
        <v>0</v>
      </c>
      <c r="D829" s="34">
        <v>0</v>
      </c>
      <c r="E829" s="34">
        <v>0</v>
      </c>
      <c r="F829" s="34">
        <v>301</v>
      </c>
      <c r="G829" s="34">
        <v>0</v>
      </c>
      <c r="H829" s="34"/>
      <c r="I829" s="34" t="s">
        <v>1561</v>
      </c>
      <c r="J829" s="34" t="s">
        <v>1561</v>
      </c>
      <c r="K829" s="107" t="s">
        <v>1561</v>
      </c>
      <c r="L829" s="34" t="s">
        <v>1561</v>
      </c>
    </row>
    <row r="830" spans="1:12" ht="16.5" x14ac:dyDescent="0.35">
      <c r="A830" s="110" t="str">
        <f>HYPERLINK("http://www.examplebusiness.comabout-us/our-team/","http://www.examplebusiness.comabout-us/our-team/")</f>
        <v>http://www.examplebusiness.comabout-us/our-team/</v>
      </c>
      <c r="B830" s="34">
        <v>4</v>
      </c>
      <c r="C830" s="34">
        <v>0</v>
      </c>
      <c r="D830" s="34">
        <v>0</v>
      </c>
      <c r="E830" s="34">
        <v>0</v>
      </c>
      <c r="F830" s="34">
        <v>301</v>
      </c>
      <c r="G830" s="34">
        <v>0</v>
      </c>
      <c r="H830" s="34"/>
      <c r="I830" s="34" t="s">
        <v>1561</v>
      </c>
      <c r="J830" s="34" t="s">
        <v>1561</v>
      </c>
      <c r="K830" s="107" t="s">
        <v>1561</v>
      </c>
      <c r="L830" s="34" t="s">
        <v>1561</v>
      </c>
    </row>
    <row r="831" spans="1:12" ht="16.5" x14ac:dyDescent="0.35">
      <c r="A831" s="110" t="str">
        <f>HYPERLINK("http://examplebusiness.comabout-us/our-team/","http://examplebusiness.comabout-us/our-team/")</f>
        <v>http://examplebusiness.comabout-us/our-team/</v>
      </c>
      <c r="B831" s="34">
        <v>4</v>
      </c>
      <c r="C831" s="34">
        <v>0</v>
      </c>
      <c r="D831" s="34">
        <v>0</v>
      </c>
      <c r="E831" s="34">
        <v>0</v>
      </c>
      <c r="F831" s="34">
        <v>301</v>
      </c>
      <c r="G831" s="34">
        <v>0</v>
      </c>
      <c r="H831" s="34"/>
      <c r="I831" s="34" t="s">
        <v>1561</v>
      </c>
      <c r="J831" s="34" t="s">
        <v>1561</v>
      </c>
      <c r="K831" s="107" t="s">
        <v>1561</v>
      </c>
      <c r="L831" s="34" t="s">
        <v>1561</v>
      </c>
    </row>
    <row r="832" spans="1:12" ht="16.5" x14ac:dyDescent="0.35">
      <c r="A832" s="110" t="str">
        <f>HYPERLINK("http://www.examplebusiness.comaccount-access/","http://www.examplebusiness.comaccount-access/")</f>
        <v>http://www.examplebusiness.comaccount-access/</v>
      </c>
      <c r="B832" s="34">
        <v>4</v>
      </c>
      <c r="C832" s="34">
        <v>0</v>
      </c>
      <c r="D832" s="34">
        <v>0</v>
      </c>
      <c r="E832" s="34">
        <v>0</v>
      </c>
      <c r="F832" s="34">
        <v>301</v>
      </c>
      <c r="G832" s="34">
        <v>0</v>
      </c>
      <c r="H832" s="34"/>
      <c r="I832" s="34" t="s">
        <v>1561</v>
      </c>
      <c r="J832" s="34" t="s">
        <v>1561</v>
      </c>
      <c r="K832" s="107" t="s">
        <v>1561</v>
      </c>
      <c r="L832" s="34" t="s">
        <v>1561</v>
      </c>
    </row>
    <row r="833" spans="1:12" ht="16.5" x14ac:dyDescent="0.35">
      <c r="A833" s="110" t="str">
        <f>HYPERLINK("http://examplebusiness.comaccount-access","http://examplebusiness.comaccount-access")</f>
        <v>http://examplebusiness.comaccount-access</v>
      </c>
      <c r="B833" s="34">
        <v>4</v>
      </c>
      <c r="C833" s="34">
        <v>0</v>
      </c>
      <c r="D833" s="34">
        <v>0</v>
      </c>
      <c r="E833" s="34">
        <v>0</v>
      </c>
      <c r="F833" s="34">
        <v>301</v>
      </c>
      <c r="G833" s="34">
        <v>0</v>
      </c>
      <c r="H833" s="34"/>
      <c r="I833" s="34" t="s">
        <v>1561</v>
      </c>
      <c r="J833" s="34" t="s">
        <v>1561</v>
      </c>
      <c r="K833" s="107" t="s">
        <v>1561</v>
      </c>
      <c r="L833" s="34" t="s">
        <v>1561</v>
      </c>
    </row>
    <row r="834" spans="1:12" ht="16.5" x14ac:dyDescent="0.35">
      <c r="A834" s="110" t="str">
        <f>HYPERLINK("http://examplebusiness.comaccount-access/","http://examplebusiness.comaccount-access/")</f>
        <v>http://examplebusiness.comaccount-access/</v>
      </c>
      <c r="B834" s="34">
        <v>4</v>
      </c>
      <c r="C834" s="34">
        <v>0</v>
      </c>
      <c r="D834" s="34">
        <v>0</v>
      </c>
      <c r="E834" s="34">
        <v>0</v>
      </c>
      <c r="F834" s="34">
        <v>301</v>
      </c>
      <c r="G834" s="34">
        <v>0</v>
      </c>
      <c r="H834" s="34"/>
      <c r="I834" s="34" t="s">
        <v>1561</v>
      </c>
      <c r="J834" s="34" t="s">
        <v>1561</v>
      </c>
      <c r="K834" s="107" t="s">
        <v>1561</v>
      </c>
      <c r="L834" s="34" t="s">
        <v>1561</v>
      </c>
    </row>
    <row r="835" spans="1:12" ht="16.5" x14ac:dyDescent="0.35">
      <c r="A835" s="110" t="str">
        <f>HYPERLINK("http://examplebusiness.comaccount-access/piwik.php","http://examplebusiness.comaccount-access/piwik.php")</f>
        <v>http://examplebusiness.comaccount-access/piwik.php</v>
      </c>
      <c r="B835" s="34">
        <v>4</v>
      </c>
      <c r="C835" s="34">
        <v>0</v>
      </c>
      <c r="D835" s="34">
        <v>0</v>
      </c>
      <c r="E835" s="34">
        <v>0</v>
      </c>
      <c r="F835" s="34">
        <v>301</v>
      </c>
      <c r="G835" s="34">
        <v>0</v>
      </c>
      <c r="H835" s="34"/>
      <c r="I835" s="34" t="s">
        <v>1561</v>
      </c>
      <c r="J835" s="34" t="s">
        <v>1561</v>
      </c>
      <c r="K835" s="107" t="s">
        <v>1561</v>
      </c>
      <c r="L835" s="34" t="s">
        <v>1561</v>
      </c>
    </row>
    <row r="836" spans="1:12" ht="16.5" x14ac:dyDescent="0.35">
      <c r="A836" s="110" t="str">
        <f>HYPERLINK("http://www.examplebusiness.comAccount_Access_-_Multiple_Options.aspx","http://www.examplebusiness.comAccount_Access_-_Multiple_Options.aspx")</f>
        <v>http://www.examplebusiness.comAccount_Access_-_Multiple_Options.aspx</v>
      </c>
      <c r="B836" s="34">
        <v>4</v>
      </c>
      <c r="C836" s="34">
        <v>0</v>
      </c>
      <c r="D836" s="34">
        <v>0</v>
      </c>
      <c r="E836" s="34">
        <v>0</v>
      </c>
      <c r="F836" s="34">
        <v>301</v>
      </c>
      <c r="G836" s="34">
        <v>0</v>
      </c>
      <c r="H836" s="34"/>
      <c r="I836" s="34" t="s">
        <v>1561</v>
      </c>
      <c r="J836" s="34" t="s">
        <v>1561</v>
      </c>
      <c r="K836" s="107" t="s">
        <v>1561</v>
      </c>
      <c r="L836" s="34" t="s">
        <v>1561</v>
      </c>
    </row>
    <row r="837" spans="1:12" ht="16.5" x14ac:dyDescent="0.35">
      <c r="A837" s="110" t="str">
        <f>HYPERLINK("http://examplebusiness.comAccount_Access_-_Multiple_Options.aspx","http://examplebusiness.comAccount_Access_-_Multiple_Options.aspx")</f>
        <v>http://examplebusiness.comAccount_Access_-_Multiple_Options.aspx</v>
      </c>
      <c r="B837" s="34">
        <v>4</v>
      </c>
      <c r="C837" s="34">
        <v>0</v>
      </c>
      <c r="D837" s="34">
        <v>0</v>
      </c>
      <c r="E837" s="34">
        <v>0</v>
      </c>
      <c r="F837" s="34">
        <v>301</v>
      </c>
      <c r="G837" s="34">
        <v>0</v>
      </c>
      <c r="H837" s="34"/>
      <c r="I837" s="34" t="s">
        <v>1561</v>
      </c>
      <c r="J837" s="34" t="s">
        <v>1561</v>
      </c>
      <c r="K837" s="107" t="s">
        <v>1561</v>
      </c>
      <c r="L837" s="34" t="s">
        <v>1561</v>
      </c>
    </row>
    <row r="838" spans="1:12" ht="16.5" x14ac:dyDescent="0.35">
      <c r="A838" s="110" t="str">
        <f>HYPERLINK("http://www.examplebusiness.comAccumulation.aspx","http://www.examplebusiness.comAccumulation.aspx")</f>
        <v>http://www.examplebusiness.comAccumulation.aspx</v>
      </c>
      <c r="B838" s="34">
        <v>4</v>
      </c>
      <c r="C838" s="34">
        <v>0</v>
      </c>
      <c r="D838" s="34">
        <v>0</v>
      </c>
      <c r="E838" s="34">
        <v>0</v>
      </c>
      <c r="F838" s="34">
        <v>301</v>
      </c>
      <c r="G838" s="34">
        <v>0</v>
      </c>
      <c r="H838" s="34"/>
      <c r="I838" s="34" t="s">
        <v>1561</v>
      </c>
      <c r="J838" s="34" t="s">
        <v>1561</v>
      </c>
      <c r="K838" s="107" t="s">
        <v>1561</v>
      </c>
      <c r="L838" s="34" t="s">
        <v>1561</v>
      </c>
    </row>
    <row r="839" spans="1:12" ht="16.5" x14ac:dyDescent="0.35">
      <c r="A839" s="110" t="str">
        <f>HYPERLINK("http://www.examplebusiness.comadmin-ajax.php","http://www.examplebusiness.comadmin-ajax.php")</f>
        <v>http://www.examplebusiness.comadmin-ajax.php</v>
      </c>
      <c r="B839" s="34">
        <v>4</v>
      </c>
      <c r="C839" s="34">
        <v>0</v>
      </c>
      <c r="D839" s="34">
        <v>0</v>
      </c>
      <c r="E839" s="34">
        <v>0</v>
      </c>
      <c r="F839" s="34">
        <v>301</v>
      </c>
      <c r="G839" s="34">
        <v>0</v>
      </c>
      <c r="H839" s="34"/>
      <c r="I839" s="34" t="s">
        <v>1561</v>
      </c>
      <c r="J839" s="34" t="s">
        <v>1561</v>
      </c>
      <c r="K839" s="107" t="s">
        <v>1561</v>
      </c>
      <c r="L839" s="34" t="s">
        <v>1561</v>
      </c>
    </row>
    <row r="840" spans="1:12" ht="16.5" x14ac:dyDescent="0.35">
      <c r="A840" s="110" t="str">
        <f>HYPERLINK("http://examplebusiness.comadmin-ajax.php","http://examplebusiness.comadmin-ajax.php")</f>
        <v>http://examplebusiness.comadmin-ajax.php</v>
      </c>
      <c r="B840" s="34">
        <v>4</v>
      </c>
      <c r="C840" s="34">
        <v>0</v>
      </c>
      <c r="D840" s="34">
        <v>0</v>
      </c>
      <c r="E840" s="34">
        <v>0</v>
      </c>
      <c r="F840" s="34">
        <v>301</v>
      </c>
      <c r="G840" s="34">
        <v>0</v>
      </c>
      <c r="H840" s="34"/>
      <c r="I840" s="34" t="s">
        <v>1561</v>
      </c>
      <c r="J840" s="34" t="s">
        <v>1561</v>
      </c>
      <c r="K840" s="107" t="s">
        <v>1561</v>
      </c>
      <c r="L840" s="34" t="s">
        <v>1561</v>
      </c>
    </row>
    <row r="841" spans="1:12" ht="16.5" x14ac:dyDescent="0.35">
      <c r="A841" s="110" t="str">
        <f>HYPERLINK("http://www.examplebusiness.comadmin-ajax.php?action=locations_search","http://www.examplebusiness.comadmin-ajax.php?action=locations_search")</f>
        <v>http://www.examplebusiness.comadmin-ajax.php?action=locations_search</v>
      </c>
      <c r="B841" s="34">
        <v>4</v>
      </c>
      <c r="C841" s="34">
        <v>0</v>
      </c>
      <c r="D841" s="34">
        <v>0</v>
      </c>
      <c r="E841" s="34">
        <v>0</v>
      </c>
      <c r="F841" s="34">
        <v>301</v>
      </c>
      <c r="G841" s="34">
        <v>0</v>
      </c>
      <c r="H841" s="34"/>
      <c r="I841" s="34" t="s">
        <v>1561</v>
      </c>
      <c r="J841" s="34" t="s">
        <v>1561</v>
      </c>
      <c r="K841" s="107" t="s">
        <v>1561</v>
      </c>
      <c r="L841" s="34" t="s">
        <v>1561</v>
      </c>
    </row>
    <row r="842" spans="1:12" ht="16.5" x14ac:dyDescent="0.35">
      <c r="A842" s="110" t="str">
        <f>HYPERLINK("http://examplebusiness.comadmin-ajax.php?action=locations_search","http://examplebusiness.comadmin-ajax.php?action=locations_search")</f>
        <v>http://examplebusiness.comadmin-ajax.php?action=locations_search</v>
      </c>
      <c r="B842" s="34">
        <v>4</v>
      </c>
      <c r="C842" s="34">
        <v>0</v>
      </c>
      <c r="D842" s="34">
        <v>0</v>
      </c>
      <c r="E842" s="34">
        <v>0</v>
      </c>
      <c r="F842" s="34">
        <v>301</v>
      </c>
      <c r="G842" s="34">
        <v>0</v>
      </c>
      <c r="H842" s="34"/>
      <c r="I842" s="34" t="s">
        <v>1561</v>
      </c>
      <c r="J842" s="34" t="s">
        <v>1561</v>
      </c>
      <c r="K842" s="107" t="s">
        <v>1561</v>
      </c>
      <c r="L842" s="34" t="s">
        <v>1561</v>
      </c>
    </row>
    <row r="843" spans="1:12" ht="16.5" x14ac:dyDescent="0.35">
      <c r="A843" s="110" t="str">
        <f>HYPERLINK("http://www.examplebusiness.comAnnual_Market_Overview.aspx","http://www.examplebusiness.comAnnual_Market_Overview.aspx")</f>
        <v>http://www.examplebusiness.comAnnual_Market_Overview.aspx</v>
      </c>
      <c r="B843" s="34">
        <v>4</v>
      </c>
      <c r="C843" s="34">
        <v>0</v>
      </c>
      <c r="D843" s="34">
        <v>0</v>
      </c>
      <c r="E843" s="34">
        <v>0</v>
      </c>
      <c r="F843" s="34">
        <v>301</v>
      </c>
      <c r="G843" s="34">
        <v>0</v>
      </c>
      <c r="H843" s="34"/>
      <c r="I843" s="34" t="s">
        <v>1561</v>
      </c>
      <c r="J843" s="34" t="s">
        <v>1561</v>
      </c>
      <c r="K843" s="107" t="s">
        <v>1561</v>
      </c>
      <c r="L843" s="34" t="s">
        <v>1561</v>
      </c>
    </row>
    <row r="844" spans="1:12" ht="16.5" x14ac:dyDescent="0.35">
      <c r="A844" s="110" t="str">
        <f>HYPERLINK("http://www.examplebusiness.comARTICLES.aspx","http://www.examplebusiness.comARTICLES.aspx")</f>
        <v>http://www.examplebusiness.comARTICLES.aspx</v>
      </c>
      <c r="B844" s="34">
        <v>4</v>
      </c>
      <c r="C844" s="34">
        <v>0</v>
      </c>
      <c r="D844" s="34">
        <v>0</v>
      </c>
      <c r="E844" s="34">
        <v>0</v>
      </c>
      <c r="F844" s="34">
        <v>301</v>
      </c>
      <c r="G844" s="34">
        <v>0</v>
      </c>
      <c r="H844" s="34"/>
      <c r="I844" s="34" t="s">
        <v>1561</v>
      </c>
      <c r="J844" s="34" t="s">
        <v>1561</v>
      </c>
      <c r="K844" s="107" t="s">
        <v>1561</v>
      </c>
      <c r="L844" s="34" t="s">
        <v>1561</v>
      </c>
    </row>
    <row r="845" spans="1:12" ht="16.5" x14ac:dyDescent="0.35">
      <c r="A845" s="110" t="str">
        <f>HYPERLINK("http://examplebusiness.comARTICLES.aspx","http://examplebusiness.comARTICLES.aspx")</f>
        <v>http://examplebusiness.comARTICLES.aspx</v>
      </c>
      <c r="B845" s="34">
        <v>4</v>
      </c>
      <c r="C845" s="34">
        <v>0</v>
      </c>
      <c r="D845" s="34">
        <v>0</v>
      </c>
      <c r="E845" s="34">
        <v>0</v>
      </c>
      <c r="F845" s="34">
        <v>301</v>
      </c>
      <c r="G845" s="34">
        <v>0</v>
      </c>
      <c r="H845" s="34"/>
      <c r="I845" s="34" t="s">
        <v>1561</v>
      </c>
      <c r="J845" s="34" t="s">
        <v>1561</v>
      </c>
      <c r="K845" s="107" t="s">
        <v>1561</v>
      </c>
      <c r="L845" s="34" t="s">
        <v>1561</v>
      </c>
    </row>
    <row r="846" spans="1:12" ht="16.5" x14ac:dyDescent="0.35">
      <c r="A846" s="110" t="str">
        <f>HYPERLINK("http://examplebusiness.comasset-protection/","http://examplebusiness.comasset-protection/")</f>
        <v>http://examplebusiness.comasset-protection/</v>
      </c>
      <c r="B846" s="34">
        <v>4</v>
      </c>
      <c r="C846" s="34">
        <v>0</v>
      </c>
      <c r="D846" s="34">
        <v>0</v>
      </c>
      <c r="E846" s="34">
        <v>0</v>
      </c>
      <c r="F846" s="34">
        <v>301</v>
      </c>
      <c r="G846" s="34">
        <v>0</v>
      </c>
      <c r="H846" s="34"/>
      <c r="I846" s="34" t="s">
        <v>1561</v>
      </c>
      <c r="J846" s="34" t="s">
        <v>1561</v>
      </c>
      <c r="K846" s="107" t="s">
        <v>1561</v>
      </c>
      <c r="L846" s="34" t="s">
        <v>1561</v>
      </c>
    </row>
    <row r="847" spans="1:12" ht="16.5" x14ac:dyDescent="0.35">
      <c r="A847" s="110" t="str">
        <f>HYPERLINK("http://examplebusiness.comauthor/abcfinancialnet/","http://examplebusiness.comauthor/abcfinancialnet/")</f>
        <v>http://examplebusiness.comauthor/abcfinancialnet/</v>
      </c>
      <c r="B847" s="34">
        <v>4</v>
      </c>
      <c r="C847" s="34">
        <v>0</v>
      </c>
      <c r="D847" s="34">
        <v>0</v>
      </c>
      <c r="E847" s="34">
        <v>0</v>
      </c>
      <c r="F847" s="34">
        <v>301</v>
      </c>
      <c r="G847" s="34">
        <v>0</v>
      </c>
      <c r="H847" s="34"/>
      <c r="I847" s="34" t="s">
        <v>1561</v>
      </c>
      <c r="J847" s="34" t="s">
        <v>1561</v>
      </c>
      <c r="K847" s="107" t="s">
        <v>1561</v>
      </c>
      <c r="L847" s="34" t="s">
        <v>1561</v>
      </c>
    </row>
    <row r="848" spans="1:12" ht="16.5" x14ac:dyDescent="0.35">
      <c r="A848" s="110" t="str">
        <f>HYPERLINK("http://examplebusiness.comauthor/janet/","http://examplebusiness.comauthor/janet/")</f>
        <v>http://examplebusiness.comauthor/janet/</v>
      </c>
      <c r="B848" s="34">
        <v>4</v>
      </c>
      <c r="C848" s="34">
        <v>0</v>
      </c>
      <c r="D848" s="34">
        <v>0</v>
      </c>
      <c r="E848" s="34">
        <v>0</v>
      </c>
      <c r="F848" s="34">
        <v>301</v>
      </c>
      <c r="G848" s="34">
        <v>0</v>
      </c>
      <c r="H848" s="34"/>
      <c r="I848" s="34" t="s">
        <v>1561</v>
      </c>
      <c r="J848" s="34" t="s">
        <v>1561</v>
      </c>
      <c r="K848" s="107" t="s">
        <v>1561</v>
      </c>
      <c r="L848" s="34" t="s">
        <v>1561</v>
      </c>
    </row>
    <row r="849" spans="1:12" ht="16.5" x14ac:dyDescent="0.35">
      <c r="A849" s="110" t="str">
        <f>HYPERLINK("http://www.examplebusiness.comblog/","http://www.examplebusiness.comblog/")</f>
        <v>http://www.examplebusiness.comblog/</v>
      </c>
      <c r="B849" s="34">
        <v>4</v>
      </c>
      <c r="C849" s="34">
        <v>0</v>
      </c>
      <c r="D849" s="34">
        <v>0</v>
      </c>
      <c r="E849" s="34">
        <v>0</v>
      </c>
      <c r="F849" s="34">
        <v>301</v>
      </c>
      <c r="G849" s="34">
        <v>0</v>
      </c>
      <c r="H849" s="34"/>
      <c r="I849" s="34" t="s">
        <v>1561</v>
      </c>
      <c r="J849" s="34" t="s">
        <v>1561</v>
      </c>
      <c r="K849" s="107" t="s">
        <v>1561</v>
      </c>
      <c r="L849" s="34" t="s">
        <v>1561</v>
      </c>
    </row>
    <row r="850" spans="1:12" ht="16.5" x14ac:dyDescent="0.35">
      <c r="A850" s="110" t="str">
        <f>HYPERLINK("https://www.examplebusiness.com/blog/12-estate-planning-must-dos?utm_content=141681105&amp;utm_medium=social&amp;utm_source=twitter&amp;hss_channel=tw-377405319","https://www.examplebusiness.com/blog/12-estate-planning-must-dos?utm_content=141681105&amp;utm_medium=social&amp;utm_source=twitter&amp;hss_channel=tw-377405319")</f>
        <v>https://www.examplebusiness.com/blog/12-estate-planning-must-dos?utm_content=141681105&amp;utm_medium=social&amp;utm_source=twitter&amp;hss_channel=tw-377405319</v>
      </c>
      <c r="B850" s="34">
        <v>4</v>
      </c>
      <c r="C850" s="34">
        <v>0</v>
      </c>
      <c r="D850" s="34">
        <v>0</v>
      </c>
      <c r="E850" s="34">
        <v>0</v>
      </c>
      <c r="F850" s="34">
        <v>200</v>
      </c>
      <c r="G850" s="34">
        <v>0</v>
      </c>
      <c r="H850" s="34"/>
      <c r="I850" s="34" t="s">
        <v>1561</v>
      </c>
      <c r="J850" s="34" t="s">
        <v>1561</v>
      </c>
      <c r="K850" s="107" t="s">
        <v>1561</v>
      </c>
      <c r="L850" s="34" t="s">
        <v>1561</v>
      </c>
    </row>
    <row r="851" spans="1:12" ht="16.5" x14ac:dyDescent="0.35">
      <c r="A851" s="110" t="str">
        <f>HYPERLINK("https://www.examplebusiness.com/blog/end-of-year-eoy-deadlines-checklist?hss_channel=tw-377405319","https://www.examplebusiness.com/blog/end-of-year-eoy-deadlines-checklist?hss_channel=tw-377405319")</f>
        <v>https://www.examplebusiness.com/blog/end-of-year-eoy-deadlines-checklist?hss_channel=tw-377405319</v>
      </c>
      <c r="B851" s="34">
        <v>4</v>
      </c>
      <c r="C851" s="34">
        <v>0</v>
      </c>
      <c r="D851" s="34">
        <v>0</v>
      </c>
      <c r="E851" s="34">
        <v>0</v>
      </c>
      <c r="F851" s="34">
        <v>200</v>
      </c>
      <c r="G851" s="34">
        <v>0</v>
      </c>
      <c r="H851" s="34"/>
      <c r="I851" s="34" t="s">
        <v>1561</v>
      </c>
      <c r="J851" s="34" t="s">
        <v>1561</v>
      </c>
      <c r="K851" s="107" t="s">
        <v>1561</v>
      </c>
      <c r="L851" s="34" t="s">
        <v>1561</v>
      </c>
    </row>
    <row r="852" spans="1:12" ht="16.5" x14ac:dyDescent="0.35">
      <c r="A852" s="110" t="str">
        <f>HYPERLINK("https://www.examplebusiness.com/blog/end-of-year-eoy-deadlines-checklist?utm_content=147630650&amp;utm_medium=social&amp;utm_source=twitter&amp;hss_channel=tw-377405319","https://www.examplebusiness.com/blog/end-of-year-eoy-deadlines-checklist?utm_content=147630650&amp;utm_medium=social&amp;utm_source=twitter&amp;hss_channel=tw-377405319")</f>
        <v>https://www.examplebusiness.com/blog/end-of-year-eoy-deadlines-checklist?utm_content=147630650&amp;utm_medium=social&amp;utm_source=twitter&amp;hss_channel=tw-377405319</v>
      </c>
      <c r="B852" s="34">
        <v>4</v>
      </c>
      <c r="C852" s="34">
        <v>0</v>
      </c>
      <c r="D852" s="34">
        <v>0</v>
      </c>
      <c r="E852" s="34">
        <v>0</v>
      </c>
      <c r="F852" s="34">
        <v>200</v>
      </c>
      <c r="G852" s="34">
        <v>0</v>
      </c>
      <c r="H852" s="34"/>
      <c r="I852" s="34" t="s">
        <v>1561</v>
      </c>
      <c r="J852" s="34" t="s">
        <v>1561</v>
      </c>
      <c r="K852" s="107" t="s">
        <v>1561</v>
      </c>
      <c r="L852" s="34" t="s">
        <v>1561</v>
      </c>
    </row>
    <row r="853" spans="1:12" ht="16.5" x14ac:dyDescent="0.35">
      <c r="A853" s="110" t="str">
        <f>HYPERLINK("https://www.examplebusiness.com/blog/end-of-year-planning-set-goals-and-reduce-taxes?hss_channel=tw-377405319","https://www.examplebusiness.com/blog/end-of-year-planning-set-goals-and-reduce-taxes?hss_channel=tw-377405319")</f>
        <v>https://www.examplebusiness.com/blog/end-of-year-planning-set-goals-and-reduce-taxes?hss_channel=tw-377405319</v>
      </c>
      <c r="B853" s="34">
        <v>4</v>
      </c>
      <c r="C853" s="34">
        <v>0</v>
      </c>
      <c r="D853" s="34">
        <v>0</v>
      </c>
      <c r="E853" s="34">
        <v>0</v>
      </c>
      <c r="F853" s="34">
        <v>200</v>
      </c>
      <c r="G853" s="34">
        <v>0</v>
      </c>
      <c r="H853" s="34"/>
      <c r="I853" s="34" t="s">
        <v>1561</v>
      </c>
      <c r="J853" s="34" t="s">
        <v>1561</v>
      </c>
      <c r="K853" s="107" t="s">
        <v>1561</v>
      </c>
      <c r="L853" s="34" t="s">
        <v>1561</v>
      </c>
    </row>
    <row r="854" spans="1:12" ht="16.5" x14ac:dyDescent="0.35">
      <c r="A854" s="110" t="str">
        <f>HYPERLINK("https://www.examplebusiness.com/blog/end-of-year-planning-set-goals-and-reduce-taxes?utm_content=144910558&amp;utm_medium=social&amp;utm_source=twitter&amp;hss_channel=tw-377405319","https://www.examplebusiness.com/blog/end-of-year-planning-set-goals-and-reduce-taxes?utm_content=144910558&amp;utm_medium=social&amp;utm_source=twitter&amp;hss_channel=tw-377405319")</f>
        <v>https://www.examplebusiness.com/blog/end-of-year-planning-set-goals-and-reduce-taxes?utm_content=144910558&amp;utm_medium=social&amp;utm_source=twitter&amp;hss_channel=tw-377405319</v>
      </c>
      <c r="B854" s="34">
        <v>4</v>
      </c>
      <c r="C854" s="34">
        <v>0</v>
      </c>
      <c r="D854" s="34">
        <v>0</v>
      </c>
      <c r="E854" s="34">
        <v>0</v>
      </c>
      <c r="F854" s="34">
        <v>200</v>
      </c>
      <c r="G854" s="34">
        <v>0</v>
      </c>
      <c r="H854" s="34"/>
      <c r="I854" s="34" t="s">
        <v>1561</v>
      </c>
      <c r="J854" s="34" t="s">
        <v>1561</v>
      </c>
      <c r="K854" s="107" t="s">
        <v>1561</v>
      </c>
      <c r="L854" s="34" t="s">
        <v>1561</v>
      </c>
    </row>
    <row r="855" spans="1:12" ht="16.5" x14ac:dyDescent="0.35">
      <c r="A855" s="110" t="str">
        <f>HYPERLINK("https://www.examplebusiness.com/blog/getting-a-jump-on-january-tax-season?hss_channel=tw-377405319","https://www.examplebusiness.com/blog/getting-a-jump-on-january-tax-season?hss_channel=tw-377405319")</f>
        <v>https://www.examplebusiness.com/blog/getting-a-jump-on-january-tax-season?hss_channel=tw-377405319</v>
      </c>
      <c r="B855" s="34">
        <v>4</v>
      </c>
      <c r="C855" s="34">
        <v>0</v>
      </c>
      <c r="D855" s="34">
        <v>0</v>
      </c>
      <c r="E855" s="34">
        <v>0</v>
      </c>
      <c r="F855" s="34">
        <v>200</v>
      </c>
      <c r="G855" s="34">
        <v>0</v>
      </c>
      <c r="H855" s="34"/>
      <c r="I855" s="34" t="s">
        <v>1561</v>
      </c>
      <c r="J855" s="34" t="s">
        <v>1561</v>
      </c>
      <c r="K855" s="107" t="s">
        <v>1561</v>
      </c>
      <c r="L855" s="34" t="s">
        <v>1561</v>
      </c>
    </row>
    <row r="856" spans="1:12" ht="16.5" x14ac:dyDescent="0.35">
      <c r="A856" s="110" t="str">
        <f>HYPERLINK("https://www.examplebusiness.com/blog/getting-a-jump-on-january-tax-season?utm_content=147630654&amp;utm_medium=social&amp;utm_source=twitter&amp;hss_channel=tw-377405319","https://www.examplebusiness.com/blog/getting-a-jump-on-january-tax-season?utm_content=147630654&amp;utm_medium=social&amp;utm_source=twitter&amp;hss_channel=tw-377405319")</f>
        <v>https://www.examplebusiness.com/blog/getting-a-jump-on-january-tax-season?utm_content=147630654&amp;utm_medium=social&amp;utm_source=twitter&amp;hss_channel=tw-377405319</v>
      </c>
      <c r="B856" s="34">
        <v>4</v>
      </c>
      <c r="C856" s="34">
        <v>0</v>
      </c>
      <c r="D856" s="34">
        <v>0</v>
      </c>
      <c r="E856" s="34">
        <v>0</v>
      </c>
      <c r="F856" s="34">
        <v>200</v>
      </c>
      <c r="G856" s="34">
        <v>0</v>
      </c>
      <c r="H856" s="34"/>
      <c r="I856" s="34" t="s">
        <v>1561</v>
      </c>
      <c r="J856" s="34" t="s">
        <v>1561</v>
      </c>
      <c r="K856" s="107" t="s">
        <v>1561</v>
      </c>
      <c r="L856" s="34" t="s">
        <v>1561</v>
      </c>
    </row>
    <row r="857" spans="1:12" ht="16.5" x14ac:dyDescent="0.35">
      <c r="A857" s="110" t="str">
        <f>HYPERLINK("https://www.examplebusiness.com/blog/investing-in-an-election-year?utm_content=141681094&amp;utm_medium=social&amp;utm_source=twitter&amp;hss_channel=tw-377405319","https://www.examplebusiness.com/blog/investing-in-an-election-year?utm_content=141681094&amp;utm_medium=social&amp;utm_source=twitter&amp;hss_channel=tw-377405319")</f>
        <v>https://www.examplebusiness.com/blog/investing-in-an-election-year?utm_content=141681094&amp;utm_medium=social&amp;utm_source=twitter&amp;hss_channel=tw-377405319</v>
      </c>
      <c r="B857" s="34">
        <v>4</v>
      </c>
      <c r="C857" s="34">
        <v>0</v>
      </c>
      <c r="D857" s="34">
        <v>0</v>
      </c>
      <c r="E857" s="34">
        <v>0</v>
      </c>
      <c r="F857" s="34">
        <v>200</v>
      </c>
      <c r="G857" s="34">
        <v>0</v>
      </c>
      <c r="H857" s="34"/>
      <c r="I857" s="34" t="s">
        <v>1561</v>
      </c>
      <c r="J857" s="34" t="s">
        <v>1561</v>
      </c>
      <c r="K857" s="107" t="s">
        <v>1561</v>
      </c>
      <c r="L857" s="34" t="s">
        <v>1561</v>
      </c>
    </row>
    <row r="858" spans="1:12" ht="16.5" x14ac:dyDescent="0.35">
      <c r="A858" s="110" t="str">
        <f>HYPERLINK("https://www.examplebusiness.com/blog/ira-vs-401k-what-savers-should-know?hss_channel=tw-377405319","https://www.examplebusiness.com/blog/ira-vs-401k-what-savers-should-know?hss_channel=tw-377405319")</f>
        <v>https://www.examplebusiness.com/blog/ira-vs-401k-what-savers-should-know?hss_channel=tw-377405319</v>
      </c>
      <c r="B858" s="34">
        <v>4</v>
      </c>
      <c r="C858" s="34">
        <v>0</v>
      </c>
      <c r="D858" s="34">
        <v>0</v>
      </c>
      <c r="E858" s="34">
        <v>0</v>
      </c>
      <c r="F858" s="34">
        <v>200</v>
      </c>
      <c r="G858" s="34">
        <v>0</v>
      </c>
      <c r="H858" s="34"/>
      <c r="I858" s="34" t="s">
        <v>1561</v>
      </c>
      <c r="J858" s="34" t="s">
        <v>1561</v>
      </c>
      <c r="K858" s="107" t="s">
        <v>1561</v>
      </c>
      <c r="L858" s="34" t="s">
        <v>1561</v>
      </c>
    </row>
    <row r="859" spans="1:12" ht="16.5" x14ac:dyDescent="0.35">
      <c r="A859" s="110" t="str">
        <f>HYPERLINK("https://www.examplebusiness.com/blog/ira-vs-401k-what-savers-should-know?utm_content=153040519&amp;utm_medium=social&amp;utm_source=twitter&amp;hss_channel=tw-377405319","https://www.examplebusiness.com/blog/ira-vs-401k-what-savers-should-know?utm_content=153040519&amp;utm_medium=social&amp;utm_source=twitter&amp;hss_channel=tw-377405319")</f>
        <v>https://www.examplebusiness.com/blog/ira-vs-401k-what-savers-should-know?utm_content=153040519&amp;utm_medium=social&amp;utm_source=twitter&amp;hss_channel=tw-377405319</v>
      </c>
      <c r="B859" s="34">
        <v>4</v>
      </c>
      <c r="C859" s="34">
        <v>0</v>
      </c>
      <c r="D859" s="34">
        <v>0</v>
      </c>
      <c r="E859" s="34">
        <v>0</v>
      </c>
      <c r="F859" s="34">
        <v>200</v>
      </c>
      <c r="G859" s="34">
        <v>0</v>
      </c>
      <c r="H859" s="34"/>
      <c r="I859" s="34" t="s">
        <v>1561</v>
      </c>
      <c r="J859" s="34" t="s">
        <v>1561</v>
      </c>
      <c r="K859" s="107" t="s">
        <v>1561</v>
      </c>
      <c r="L859" s="34" t="s">
        <v>1561</v>
      </c>
    </row>
    <row r="860" spans="1:12" ht="16.5" x14ac:dyDescent="0.35">
      <c r="A860" s="110" t="str">
        <f>HYPERLINK("https://www.examplebusiness.com/blog/new-years-resolutions-to-get-your-finances-in-order?hss_channel=tw-377405319","https://www.examplebusiness.com/blog/new-years-resolutions-to-get-your-finances-in-order?hss_channel=tw-377405319")</f>
        <v>https://www.examplebusiness.com/blog/new-years-resolutions-to-get-your-finances-in-order?hss_channel=tw-377405319</v>
      </c>
      <c r="B860" s="34">
        <v>4</v>
      </c>
      <c r="C860" s="34">
        <v>0</v>
      </c>
      <c r="D860" s="34">
        <v>0</v>
      </c>
      <c r="E860" s="34">
        <v>0</v>
      </c>
      <c r="F860" s="34">
        <v>200</v>
      </c>
      <c r="G860" s="34">
        <v>0</v>
      </c>
      <c r="H860" s="34"/>
      <c r="I860" s="34" t="s">
        <v>1561</v>
      </c>
      <c r="J860" s="34" t="s">
        <v>1561</v>
      </c>
      <c r="K860" s="107" t="s">
        <v>1561</v>
      </c>
      <c r="L860" s="34" t="s">
        <v>1561</v>
      </c>
    </row>
    <row r="861" spans="1:12" ht="16.5" x14ac:dyDescent="0.35">
      <c r="A861" s="110" t="str">
        <f>HYPERLINK("https://www.examplebusiness.com/blog/new-years-resolutions-to-get-your-finances-in-order?utm_content=150783789&amp;utm_medium=social&amp;utm_source=twitter&amp;hss_channel=tw-377405319","https://www.examplebusiness.com/blog/new-years-resolutions-to-get-your-finances-in-order?utm_content=150783789&amp;utm_medium=social&amp;utm_source=twitter&amp;hss_channel=tw-377405319")</f>
        <v>https://www.examplebusiness.com/blog/new-years-resolutions-to-get-your-finances-in-order?utm_content=150783789&amp;utm_medium=social&amp;utm_source=twitter&amp;hss_channel=tw-377405319</v>
      </c>
      <c r="B861" s="34">
        <v>4</v>
      </c>
      <c r="C861" s="34">
        <v>0</v>
      </c>
      <c r="D861" s="34">
        <v>0</v>
      </c>
      <c r="E861" s="34">
        <v>0</v>
      </c>
      <c r="F861" s="34">
        <v>200</v>
      </c>
      <c r="G861" s="34">
        <v>0</v>
      </c>
      <c r="H861" s="34"/>
      <c r="I861" s="34" t="s">
        <v>1561</v>
      </c>
      <c r="J861" s="34" t="s">
        <v>1561</v>
      </c>
      <c r="K861" s="107" t="s">
        <v>1561</v>
      </c>
      <c r="L861" s="34" t="s">
        <v>1561</v>
      </c>
    </row>
    <row r="862" spans="1:12" ht="16.5" x14ac:dyDescent="0.35">
      <c r="A862" s="110" t="str">
        <f>HYPERLINK("https://www.examplebusiness.com/blog/recognizing-and-avoiding-online-scams?hss_channel=tw-377405319","https://www.examplebusiness.com/blog/recognizing-and-avoiding-online-scams?hss_channel=tw-377405319")</f>
        <v>https://www.examplebusiness.com/blog/recognizing-and-avoiding-online-scams?hss_channel=tw-377405319</v>
      </c>
      <c r="B862" s="34">
        <v>4</v>
      </c>
      <c r="C862" s="34">
        <v>0</v>
      </c>
      <c r="D862" s="34">
        <v>0</v>
      </c>
      <c r="E862" s="34">
        <v>0</v>
      </c>
      <c r="F862" s="34">
        <v>200</v>
      </c>
      <c r="G862" s="34">
        <v>0</v>
      </c>
      <c r="H862" s="34"/>
      <c r="I862" s="34" t="s">
        <v>1561</v>
      </c>
      <c r="J862" s="34" t="s">
        <v>1561</v>
      </c>
      <c r="K862" s="107" t="s">
        <v>1561</v>
      </c>
      <c r="L862" s="34" t="s">
        <v>1561</v>
      </c>
    </row>
    <row r="863" spans="1:12" ht="16.5" x14ac:dyDescent="0.35">
      <c r="A863" s="110" t="str">
        <f>HYPERLINK("https://www.examplebusiness.com/blog/recognizing-and-avoiding-online-scams?utm_content=144908744&amp;utm_medium=social&amp;utm_source=twitter&amp;hss_channel=tw-377405319","https://www.examplebusiness.com/blog/recognizing-and-avoiding-online-scams?utm_content=144908744&amp;utm_medium=social&amp;utm_source=twitter&amp;hss_channel=tw-377405319")</f>
        <v>https://www.examplebusiness.com/blog/recognizing-and-avoiding-online-scams?utm_content=144908744&amp;utm_medium=social&amp;utm_source=twitter&amp;hss_channel=tw-377405319</v>
      </c>
      <c r="B863" s="34">
        <v>4</v>
      </c>
      <c r="C863" s="34">
        <v>0</v>
      </c>
      <c r="D863" s="34">
        <v>0</v>
      </c>
      <c r="E863" s="34">
        <v>0</v>
      </c>
      <c r="F863" s="34">
        <v>200</v>
      </c>
      <c r="G863" s="34">
        <v>0</v>
      </c>
      <c r="H863" s="34"/>
      <c r="I863" s="34" t="s">
        <v>1561</v>
      </c>
      <c r="J863" s="34" t="s">
        <v>1561</v>
      </c>
      <c r="K863" s="107" t="s">
        <v>1561</v>
      </c>
      <c r="L863" s="34" t="s">
        <v>1561</v>
      </c>
    </row>
    <row r="864" spans="1:12" ht="16.5" x14ac:dyDescent="0.35">
      <c r="A864" s="110" t="str">
        <f>HYPERLINK("https://www.examplebusiness.com/blog/retirement-income-planning?hss_channel=tw-377405319","https://www.examplebusiness.com/blog/retirement-income-planning?hss_channel=tw-377405319")</f>
        <v>https://www.examplebusiness.com/blog/retirement-income-planning?hss_channel=tw-377405319</v>
      </c>
      <c r="B864" s="34">
        <v>4</v>
      </c>
      <c r="C864" s="34">
        <v>0</v>
      </c>
      <c r="D864" s="34">
        <v>0</v>
      </c>
      <c r="E864" s="34">
        <v>0</v>
      </c>
      <c r="F864" s="34">
        <v>200</v>
      </c>
      <c r="G864" s="34">
        <v>0</v>
      </c>
      <c r="H864" s="34"/>
      <c r="I864" s="34" t="s">
        <v>1561</v>
      </c>
      <c r="J864" s="34" t="s">
        <v>1561</v>
      </c>
      <c r="K864" s="107" t="s">
        <v>1561</v>
      </c>
      <c r="L864" s="34" t="s">
        <v>1561</v>
      </c>
    </row>
    <row r="865" spans="1:12" ht="16.5" x14ac:dyDescent="0.35">
      <c r="A865" s="110" t="str">
        <f>HYPERLINK("https://www.examplebusiness.com/blog/retirement-income-planning?utm_content=153040516&amp;utm_medium=social&amp;utm_source=twitter&amp;hss_channel=tw-377405319","https://www.examplebusiness.com/blog/retirement-income-planning?utm_content=153040516&amp;utm_medium=social&amp;utm_source=twitter&amp;hss_channel=tw-377405319")</f>
        <v>https://www.examplebusiness.com/blog/retirement-income-planning?utm_content=153040516&amp;utm_medium=social&amp;utm_source=twitter&amp;hss_channel=tw-377405319</v>
      </c>
      <c r="B865" s="34">
        <v>4</v>
      </c>
      <c r="C865" s="34">
        <v>0</v>
      </c>
      <c r="D865" s="34">
        <v>0</v>
      </c>
      <c r="E865" s="34">
        <v>0</v>
      </c>
      <c r="F865" s="34">
        <v>200</v>
      </c>
      <c r="G865" s="34">
        <v>0</v>
      </c>
      <c r="H865" s="34"/>
      <c r="I865" s="34" t="s">
        <v>1561</v>
      </c>
      <c r="J865" s="34" t="s">
        <v>1561</v>
      </c>
      <c r="K865" s="107" t="s">
        <v>1561</v>
      </c>
      <c r="L865" s="34" t="s">
        <v>1561</v>
      </c>
    </row>
    <row r="866" spans="1:12" ht="16.5" x14ac:dyDescent="0.35">
      <c r="A866" s="110" t="str">
        <f>HYPERLINK("https://www.examplebusiness.com/blog/tax-identity-theft-awareness-protecting-yourself-from-tax-identity-theft?hss_channel=tw-377405319","https://www.examplebusiness.com/blog/tax-identity-theft-awareness-protecting-yourself-from-tax-identity-theft?hss_channel=tw-377405319")</f>
        <v>https://www.examplebusiness.com/blog/tax-identity-theft-awareness-protecting-yourself-from-tax-identity-theft?hss_channel=tw-377405319</v>
      </c>
      <c r="B866" s="34">
        <v>4</v>
      </c>
      <c r="C866" s="34">
        <v>0</v>
      </c>
      <c r="D866" s="34">
        <v>0</v>
      </c>
      <c r="E866" s="34">
        <v>0</v>
      </c>
      <c r="F866" s="34">
        <v>200</v>
      </c>
      <c r="G866" s="34">
        <v>0</v>
      </c>
      <c r="H866" s="34"/>
      <c r="I866" s="34" t="s">
        <v>1561</v>
      </c>
      <c r="J866" s="34" t="s">
        <v>1561</v>
      </c>
      <c r="K866" s="107" t="s">
        <v>1561</v>
      </c>
      <c r="L866" s="34" t="s">
        <v>1561</v>
      </c>
    </row>
    <row r="867" spans="1:12" ht="16.5" x14ac:dyDescent="0.35">
      <c r="A867" s="110" t="str">
        <f>HYPERLINK("https://www.examplebusiness.com/blog/tax-identity-theft-awareness-protecting-yourself-from-tax-identity-theft?utm_content=151203336&amp;utm_medium=social&amp;utm_source=twitter&amp;hss_channel=tw-377405319","https://www.examplebusiness.com/blog/tax-identity-theft-awareness-protecting-yourself-from-tax-identity-theft?utm_content=151203336&amp;utm_medium=social&amp;utm_source=twitter&amp;hss_channel=tw-377405319")</f>
        <v>https://www.examplebusiness.com/blog/tax-identity-theft-awareness-protecting-yourself-from-tax-identity-theft?utm_content=151203336&amp;utm_medium=social&amp;utm_source=twitter&amp;hss_channel=tw-377405319</v>
      </c>
      <c r="B867" s="34">
        <v>4</v>
      </c>
      <c r="C867" s="34">
        <v>0</v>
      </c>
      <c r="D867" s="34">
        <v>0</v>
      </c>
      <c r="E867" s="34">
        <v>0</v>
      </c>
      <c r="F867" s="34">
        <v>200</v>
      </c>
      <c r="G867" s="34">
        <v>0</v>
      </c>
      <c r="H867" s="34"/>
      <c r="I867" s="34" t="s">
        <v>1561</v>
      </c>
      <c r="J867" s="34" t="s">
        <v>1561</v>
      </c>
      <c r="K867" s="107" t="s">
        <v>1561</v>
      </c>
      <c r="L867" s="34" t="s">
        <v>1561</v>
      </c>
    </row>
    <row r="868" spans="1:12" ht="16.5" x14ac:dyDescent="0.35">
      <c r="A868" s="110" t="str">
        <f>HYPERLINK("http://examplebusiness.combuilding-wealth-p1/","http://examplebusiness.combuilding-wealth-p1/")</f>
        <v>http://examplebusiness.combuilding-wealth-p1/</v>
      </c>
      <c r="B868" s="34">
        <v>4</v>
      </c>
      <c r="C868" s="34">
        <v>0</v>
      </c>
      <c r="D868" s="34">
        <v>0</v>
      </c>
      <c r="E868" s="34">
        <v>0</v>
      </c>
      <c r="F868" s="34">
        <v>301</v>
      </c>
      <c r="G868" s="34">
        <v>0</v>
      </c>
      <c r="H868" s="34"/>
      <c r="I868" s="34" t="s">
        <v>1561</v>
      </c>
      <c r="J868" s="34" t="s">
        <v>1561</v>
      </c>
      <c r="K868" s="107" t="s">
        <v>1561</v>
      </c>
      <c r="L868" s="34" t="s">
        <v>1561</v>
      </c>
    </row>
    <row r="869" spans="1:12" ht="16.5" x14ac:dyDescent="0.35">
      <c r="A869" s="110" t="str">
        <f>HYPERLINK("http://examplebusiness.combuilding-wealth-p2/","http://examplebusiness.combuilding-wealth-p2/")</f>
        <v>http://examplebusiness.combuilding-wealth-p2/</v>
      </c>
      <c r="B869" s="34">
        <v>4</v>
      </c>
      <c r="C869" s="34">
        <v>0</v>
      </c>
      <c r="D869" s="34">
        <v>0</v>
      </c>
      <c r="E869" s="34">
        <v>0</v>
      </c>
      <c r="F869" s="34">
        <v>301</v>
      </c>
      <c r="G869" s="34">
        <v>0</v>
      </c>
      <c r="H869" s="34"/>
      <c r="I869" s="34" t="s">
        <v>1561</v>
      </c>
      <c r="J869" s="34" t="s">
        <v>1561</v>
      </c>
      <c r="K869" s="107" t="s">
        <v>1561</v>
      </c>
      <c r="L869" s="34" t="s">
        <v>1561</v>
      </c>
    </row>
    <row r="870" spans="1:12" ht="16.5" x14ac:dyDescent="0.35">
      <c r="A870" s="110" t="str">
        <f>HYPERLINK("http://examplebusiness.combusiness-retirement-plan-consulting/","http://examplebusiness.combusiness-retirement-plan-consulting/")</f>
        <v>http://examplebusiness.combusiness-retirement-plan-consulting/</v>
      </c>
      <c r="B870" s="34">
        <v>4</v>
      </c>
      <c r="C870" s="34">
        <v>0</v>
      </c>
      <c r="D870" s="34">
        <v>0</v>
      </c>
      <c r="E870" s="34">
        <v>0</v>
      </c>
      <c r="F870" s="34">
        <v>301</v>
      </c>
      <c r="G870" s="34">
        <v>0</v>
      </c>
      <c r="H870" s="34"/>
      <c r="I870" s="34" t="s">
        <v>1561</v>
      </c>
      <c r="J870" s="34" t="s">
        <v>1561</v>
      </c>
      <c r="K870" s="107" t="s">
        <v>1561</v>
      </c>
      <c r="L870" s="34" t="s">
        <v>1561</v>
      </c>
    </row>
    <row r="871" spans="1:12" ht="16.5" x14ac:dyDescent="0.35">
      <c r="A871" s="110" t="str">
        <f>HYPERLINK("http://www.examplebusiness.comBusiness_Planning.aspx","http://www.examplebusiness.comBusiness_Planning.aspx")</f>
        <v>http://www.examplebusiness.comBusiness_Planning.aspx</v>
      </c>
      <c r="B871" s="34">
        <v>4</v>
      </c>
      <c r="C871" s="34">
        <v>0</v>
      </c>
      <c r="D871" s="34">
        <v>0</v>
      </c>
      <c r="E871" s="34">
        <v>0</v>
      </c>
      <c r="F871" s="34">
        <v>301</v>
      </c>
      <c r="G871" s="34">
        <v>0</v>
      </c>
      <c r="H871" s="34"/>
      <c r="I871" s="34" t="s">
        <v>1561</v>
      </c>
      <c r="J871" s="34" t="s">
        <v>1561</v>
      </c>
      <c r="K871" s="107" t="s">
        <v>1561</v>
      </c>
      <c r="L871" s="34" t="s">
        <v>1561</v>
      </c>
    </row>
    <row r="872" spans="1:12" ht="16.5" x14ac:dyDescent="0.35">
      <c r="A872" s="110" t="str">
        <f>HYPERLINK("http://examplebusiness.comcategory/abc-financial-in-the-news/","http://examplebusiness.comcategory/abc-financial-in-the-news/")</f>
        <v>http://examplebusiness.comcategory/abc-financial-in-the-news/</v>
      </c>
      <c r="B872" s="34">
        <v>4</v>
      </c>
      <c r="C872" s="34">
        <v>0</v>
      </c>
      <c r="D872" s="34">
        <v>0</v>
      </c>
      <c r="E872" s="34">
        <v>0</v>
      </c>
      <c r="F872" s="34">
        <v>301</v>
      </c>
      <c r="G872" s="34">
        <v>0</v>
      </c>
      <c r="H872" s="34"/>
      <c r="I872" s="34" t="s">
        <v>1561</v>
      </c>
      <c r="J872" s="34" t="s">
        <v>1561</v>
      </c>
      <c r="K872" s="107" t="s">
        <v>1561</v>
      </c>
      <c r="L872" s="34" t="s">
        <v>1561</v>
      </c>
    </row>
    <row r="873" spans="1:12" ht="16.5" x14ac:dyDescent="0.35">
      <c r="A873" s="110" t="str">
        <f>HYPERLINK("http://examplebusiness.comcategory/abc-financial-on-the-local-news/","http://examplebusiness.comcategory/abc-financial-on-the-local-news/")</f>
        <v>http://examplebusiness.comcategory/abc-financial-on-the-local-news/</v>
      </c>
      <c r="B873" s="34">
        <v>4</v>
      </c>
      <c r="C873" s="34">
        <v>0</v>
      </c>
      <c r="D873" s="34">
        <v>0</v>
      </c>
      <c r="E873" s="34">
        <v>0</v>
      </c>
      <c r="F873" s="34">
        <v>301</v>
      </c>
      <c r="G873" s="34">
        <v>0</v>
      </c>
      <c r="H873" s="34"/>
      <c r="I873" s="34" t="s">
        <v>1561</v>
      </c>
      <c r="J873" s="34" t="s">
        <v>1561</v>
      </c>
      <c r="K873" s="107" t="s">
        <v>1561</v>
      </c>
      <c r="L873" s="34" t="s">
        <v>1561</v>
      </c>
    </row>
    <row r="874" spans="1:12" ht="16.5" x14ac:dyDescent="0.35">
      <c r="A874" s="110" t="str">
        <f>HYPERLINK("http://examplebusiness.comcategory/blog/","http://examplebusiness.comcategory/blog/")</f>
        <v>http://examplebusiness.comcategory/blog/</v>
      </c>
      <c r="B874" s="34">
        <v>4</v>
      </c>
      <c r="C874" s="34">
        <v>0</v>
      </c>
      <c r="D874" s="34">
        <v>0</v>
      </c>
      <c r="E874" s="34">
        <v>0</v>
      </c>
      <c r="F874" s="34">
        <v>301</v>
      </c>
      <c r="G874" s="34">
        <v>0</v>
      </c>
      <c r="H874" s="34"/>
      <c r="I874" s="34" t="s">
        <v>1561</v>
      </c>
      <c r="J874" s="34" t="s">
        <v>1561</v>
      </c>
      <c r="K874" s="107" t="s">
        <v>1561</v>
      </c>
      <c r="L874" s="34" t="s">
        <v>1561</v>
      </c>
    </row>
    <row r="875" spans="1:12" ht="16.5" x14ac:dyDescent="0.35">
      <c r="A875" s="110" t="str">
        <f>HYPERLINK("http://examplebusiness.comcategory/blog","http://examplebusiness.comcategory/blog")</f>
        <v>http://examplebusiness.comcategory/blog</v>
      </c>
      <c r="B875" s="34">
        <v>4</v>
      </c>
      <c r="C875" s="34">
        <v>0</v>
      </c>
      <c r="D875" s="34">
        <v>0</v>
      </c>
      <c r="E875" s="34">
        <v>0</v>
      </c>
      <c r="F875" s="34">
        <v>301</v>
      </c>
      <c r="G875" s="34">
        <v>0</v>
      </c>
      <c r="H875" s="34"/>
      <c r="I875" s="34" t="s">
        <v>1561</v>
      </c>
      <c r="J875" s="34" t="s">
        <v>1561</v>
      </c>
      <c r="K875" s="107" t="s">
        <v>1561</v>
      </c>
      <c r="L875" s="34" t="s">
        <v>1561</v>
      </c>
    </row>
    <row r="876" spans="1:12" ht="16.5" x14ac:dyDescent="0.35">
      <c r="A876" s="110" t="str">
        <f>HYPERLINK("http://www.examplebusiness.comcategory/fox-9-interviews/","http://www.examplebusiness.comcategory/fox-9-interviews/")</f>
        <v>http://www.examplebusiness.comcategory/fox-9-interviews/</v>
      </c>
      <c r="B876" s="34">
        <v>4</v>
      </c>
      <c r="C876" s="34">
        <v>0</v>
      </c>
      <c r="D876" s="34">
        <v>0</v>
      </c>
      <c r="E876" s="34">
        <v>0</v>
      </c>
      <c r="F876" s="34">
        <v>301</v>
      </c>
      <c r="G876" s="34">
        <v>0</v>
      </c>
      <c r="H876" s="34"/>
      <c r="I876" s="34" t="s">
        <v>1561</v>
      </c>
      <c r="J876" s="34" t="s">
        <v>1561</v>
      </c>
      <c r="K876" s="107" t="s">
        <v>1561</v>
      </c>
      <c r="L876" s="34" t="s">
        <v>1561</v>
      </c>
    </row>
    <row r="877" spans="1:12" ht="16.5" x14ac:dyDescent="0.35">
      <c r="A877" s="110" t="str">
        <f>HYPERLINK("http://examplebusiness.comcategory/fox-9-interviews/","http://examplebusiness.comcategory/fox-9-interviews/")</f>
        <v>http://examplebusiness.comcategory/fox-9-interviews/</v>
      </c>
      <c r="B877" s="34">
        <v>4</v>
      </c>
      <c r="C877" s="34">
        <v>0</v>
      </c>
      <c r="D877" s="34">
        <v>0</v>
      </c>
      <c r="E877" s="34">
        <v>0</v>
      </c>
      <c r="F877" s="34">
        <v>301</v>
      </c>
      <c r="G877" s="34">
        <v>0</v>
      </c>
      <c r="H877" s="34"/>
      <c r="I877" s="34" t="s">
        <v>1561</v>
      </c>
      <c r="J877" s="34" t="s">
        <v>1561</v>
      </c>
      <c r="K877" s="107" t="s">
        <v>1561</v>
      </c>
      <c r="L877" s="34" t="s">
        <v>1561</v>
      </c>
    </row>
    <row r="878" spans="1:12" ht="16.5" x14ac:dyDescent="0.35">
      <c r="A878" s="110" t="str">
        <f>HYPERLINK("http://examplebusiness.com/category/fox-9-interviews/","http://examplebusiness.com/category/fox-9-interviews/")</f>
        <v>http://examplebusiness.com/category/fox-9-interviews/</v>
      </c>
      <c r="B878" s="34">
        <v>4</v>
      </c>
      <c r="C878" s="34">
        <v>0</v>
      </c>
      <c r="D878" s="34">
        <v>0</v>
      </c>
      <c r="E878" s="34">
        <v>0</v>
      </c>
      <c r="F878" s="34">
        <v>301</v>
      </c>
      <c r="G878" s="34">
        <v>0</v>
      </c>
      <c r="H878" s="34"/>
      <c r="I878" s="34" t="s">
        <v>1561</v>
      </c>
      <c r="J878" s="34" t="s">
        <v>1561</v>
      </c>
      <c r="K878" s="107" t="s">
        <v>1561</v>
      </c>
      <c r="L878" s="34" t="s">
        <v>1561</v>
      </c>
    </row>
    <row r="879" spans="1:12" ht="16.5" x14ac:dyDescent="0.35">
      <c r="A879" s="110" t="str">
        <f>HYPERLINK("http://examplebusiness.comcategory/fox-9-interviews/page/2/","http://examplebusiness.comcategory/fox-9-interviews/page/2/")</f>
        <v>http://examplebusiness.comcategory/fox-9-interviews/page/2/</v>
      </c>
      <c r="B879" s="34">
        <v>4</v>
      </c>
      <c r="C879" s="34">
        <v>0</v>
      </c>
      <c r="D879" s="34">
        <v>0</v>
      </c>
      <c r="E879" s="34">
        <v>0</v>
      </c>
      <c r="F879" s="34">
        <v>301</v>
      </c>
      <c r="G879" s="34">
        <v>0</v>
      </c>
      <c r="H879" s="34"/>
      <c r="I879" s="34" t="s">
        <v>1561</v>
      </c>
      <c r="J879" s="34" t="s">
        <v>1561</v>
      </c>
      <c r="K879" s="107" t="s">
        <v>1561</v>
      </c>
      <c r="L879" s="34" t="s">
        <v>1561</v>
      </c>
    </row>
    <row r="880" spans="1:12" ht="16.5" x14ac:dyDescent="0.35">
      <c r="A880" s="110" t="str">
        <f>HYPERLINK("http://examplebusiness.comcategory/uncategorized/","http://examplebusiness.comcategory/uncategorized/")</f>
        <v>http://examplebusiness.comcategory/uncategorized/</v>
      </c>
      <c r="B880" s="34">
        <v>4</v>
      </c>
      <c r="C880" s="34">
        <v>0</v>
      </c>
      <c r="D880" s="34">
        <v>0</v>
      </c>
      <c r="E880" s="34">
        <v>0</v>
      </c>
      <c r="F880" s="34">
        <v>301</v>
      </c>
      <c r="G880" s="34">
        <v>0</v>
      </c>
      <c r="H880" s="34"/>
      <c r="I880" s="34" t="s">
        <v>1561</v>
      </c>
      <c r="J880" s="34" t="s">
        <v>1561</v>
      </c>
      <c r="K880" s="107" t="s">
        <v>1561</v>
      </c>
      <c r="L880" s="34" t="s">
        <v>1561</v>
      </c>
    </row>
    <row r="881" spans="1:12" ht="16.5" x14ac:dyDescent="0.35">
      <c r="A881" s="110" t="str">
        <f>HYPERLINK("http://examplebusiness.comcategory/uncategorized/page/2/","http://examplebusiness.comcategory/uncategorized/page/2/")</f>
        <v>http://examplebusiness.comcategory/uncategorized/page/2/</v>
      </c>
      <c r="B881" s="34">
        <v>4</v>
      </c>
      <c r="C881" s="34">
        <v>0</v>
      </c>
      <c r="D881" s="34">
        <v>0</v>
      </c>
      <c r="E881" s="34">
        <v>0</v>
      </c>
      <c r="F881" s="34">
        <v>301</v>
      </c>
      <c r="G881" s="34">
        <v>0</v>
      </c>
      <c r="H881" s="34"/>
      <c r="I881" s="34" t="s">
        <v>1561</v>
      </c>
      <c r="J881" s="34" t="s">
        <v>1561</v>
      </c>
      <c r="K881" s="107" t="s">
        <v>1561</v>
      </c>
      <c r="L881" s="34" t="s">
        <v>1561</v>
      </c>
    </row>
    <row r="882" spans="1:12" ht="16.5" x14ac:dyDescent="0.35">
      <c r="A882" s="110" t="str">
        <f>HYPERLINK("http://examplebusiness.comcategory/webinar/","http://examplebusiness.comcategory/webinar/")</f>
        <v>http://examplebusiness.comcategory/webinar/</v>
      </c>
      <c r="B882" s="34">
        <v>4</v>
      </c>
      <c r="C882" s="34">
        <v>0</v>
      </c>
      <c r="D882" s="34">
        <v>0</v>
      </c>
      <c r="E882" s="34">
        <v>0</v>
      </c>
      <c r="F882" s="34">
        <v>301</v>
      </c>
      <c r="G882" s="34">
        <v>0</v>
      </c>
      <c r="H882" s="34"/>
      <c r="I882" s="34" t="s">
        <v>1561</v>
      </c>
      <c r="J882" s="34" t="s">
        <v>1561</v>
      </c>
      <c r="K882" s="107" t="s">
        <v>1561</v>
      </c>
      <c r="L882" s="34" t="s">
        <v>1561</v>
      </c>
    </row>
    <row r="883" spans="1:12" ht="16.5" x14ac:dyDescent="0.35">
      <c r="A883" s="110" t="str">
        <f>HYPERLINK("http://examplebusiness.comcategory/weekly-economic-commentary/","http://examplebusiness.comcategory/weekly-economic-commentary/")</f>
        <v>http://examplebusiness.comcategory/weekly-economic-commentary/</v>
      </c>
      <c r="B883" s="34">
        <v>4</v>
      </c>
      <c r="C883" s="34">
        <v>0</v>
      </c>
      <c r="D883" s="34">
        <v>0</v>
      </c>
      <c r="E883" s="34">
        <v>0</v>
      </c>
      <c r="F883" s="34">
        <v>301</v>
      </c>
      <c r="G883" s="34">
        <v>0</v>
      </c>
      <c r="H883" s="34"/>
      <c r="I883" s="34" t="s">
        <v>1561</v>
      </c>
      <c r="J883" s="34" t="s">
        <v>1561</v>
      </c>
      <c r="K883" s="107" t="s">
        <v>1561</v>
      </c>
      <c r="L883" s="34" t="s">
        <v>1561</v>
      </c>
    </row>
    <row r="884" spans="1:12" ht="16.5" x14ac:dyDescent="0.35">
      <c r="A884" s="110" t="str">
        <f>HYPERLINK("http://examplebusiness.comcategory/weekly-market-commentary/","http://examplebusiness.comcategory/weekly-market-commentary/")</f>
        <v>http://examplebusiness.comcategory/weekly-market-commentary/</v>
      </c>
      <c r="B884" s="34">
        <v>4</v>
      </c>
      <c r="C884" s="34">
        <v>0</v>
      </c>
      <c r="D884" s="34">
        <v>0</v>
      </c>
      <c r="E884" s="34">
        <v>0</v>
      </c>
      <c r="F884" s="34">
        <v>301</v>
      </c>
      <c r="G884" s="34">
        <v>0</v>
      </c>
      <c r="H884" s="34"/>
      <c r="I884" s="34" t="s">
        <v>1561</v>
      </c>
      <c r="J884" s="34" t="s">
        <v>1561</v>
      </c>
      <c r="K884" s="107" t="s">
        <v>1561</v>
      </c>
      <c r="L884" s="34" t="s">
        <v>1561</v>
      </c>
    </row>
    <row r="885" spans="1:12" ht="16.5" x14ac:dyDescent="0.35">
      <c r="A885" s="110" t="str">
        <f>HYPERLINK("http://examplebusiness.comchina-stock-market/","http://examplebusiness.comchina-stock-market/")</f>
        <v>http://examplebusiness.comchina-stock-market/</v>
      </c>
      <c r="B885" s="34">
        <v>4</v>
      </c>
      <c r="C885" s="34">
        <v>0</v>
      </c>
      <c r="D885" s="34">
        <v>0</v>
      </c>
      <c r="E885" s="34">
        <v>0</v>
      </c>
      <c r="F885" s="34">
        <v>301</v>
      </c>
      <c r="G885" s="34">
        <v>0</v>
      </c>
      <c r="H885" s="34"/>
      <c r="I885" s="34" t="s">
        <v>1561</v>
      </c>
      <c r="J885" s="34" t="s">
        <v>1561</v>
      </c>
      <c r="K885" s="107" t="s">
        <v>1561</v>
      </c>
      <c r="L885" s="34" t="s">
        <v>1561</v>
      </c>
    </row>
    <row r="886" spans="1:12" ht="16.5" x14ac:dyDescent="0.35">
      <c r="A886" s="110" t="str">
        <f>HYPERLINK("http://www.examplebusiness.comclient-center/","http://www.examplebusiness.comclient-center/")</f>
        <v>http://www.examplebusiness.comclient-center/</v>
      </c>
      <c r="B886" s="34">
        <v>4</v>
      </c>
      <c r="C886" s="34">
        <v>0</v>
      </c>
      <c r="D886" s="34">
        <v>0</v>
      </c>
      <c r="E886" s="34">
        <v>0</v>
      </c>
      <c r="F886" s="34">
        <v>301</v>
      </c>
      <c r="G886" s="34">
        <v>0</v>
      </c>
      <c r="H886" s="34"/>
      <c r="I886" s="34" t="s">
        <v>1561</v>
      </c>
      <c r="J886" s="34" t="s">
        <v>1561</v>
      </c>
      <c r="K886" s="107" t="s">
        <v>1561</v>
      </c>
      <c r="L886" s="34" t="s">
        <v>1561</v>
      </c>
    </row>
    <row r="887" spans="1:12" ht="16.5" x14ac:dyDescent="0.35">
      <c r="A887" s="110" t="str">
        <f>HYPERLINK("http://examplebusiness.comclient-center","http://examplebusiness.comclient-center")</f>
        <v>http://examplebusiness.comclient-center</v>
      </c>
      <c r="B887" s="34">
        <v>4</v>
      </c>
      <c r="C887" s="34">
        <v>0</v>
      </c>
      <c r="D887" s="34">
        <v>0</v>
      </c>
      <c r="E887" s="34">
        <v>0</v>
      </c>
      <c r="F887" s="34">
        <v>301</v>
      </c>
      <c r="G887" s="34">
        <v>0</v>
      </c>
      <c r="H887" s="34"/>
      <c r="I887" s="34" t="s">
        <v>1561</v>
      </c>
      <c r="J887" s="34" t="s">
        <v>1561</v>
      </c>
      <c r="K887" s="107" t="s">
        <v>1561</v>
      </c>
      <c r="L887" s="34" t="s">
        <v>1561</v>
      </c>
    </row>
    <row r="888" spans="1:12" ht="16.5" x14ac:dyDescent="0.35">
      <c r="A888" s="110" t="str">
        <f>HYPERLINK("http://examplebusiness.comclient-center/","http://examplebusiness.comclient-center/")</f>
        <v>http://examplebusiness.comclient-center/</v>
      </c>
      <c r="B888" s="34">
        <v>4</v>
      </c>
      <c r="C888" s="34">
        <v>0</v>
      </c>
      <c r="D888" s="34">
        <v>0</v>
      </c>
      <c r="E888" s="34">
        <v>0</v>
      </c>
      <c r="F888" s="34">
        <v>301</v>
      </c>
      <c r="G888" s="34">
        <v>0</v>
      </c>
      <c r="H888" s="34"/>
      <c r="I888" s="34" t="s">
        <v>1561</v>
      </c>
      <c r="J888" s="34" t="s">
        <v>1561</v>
      </c>
      <c r="K888" s="107" t="s">
        <v>1561</v>
      </c>
      <c r="L888" s="34" t="s">
        <v>1561</v>
      </c>
    </row>
    <row r="889" spans="1:12" ht="16.5" x14ac:dyDescent="0.35">
      <c r="A889" s="110" t="str">
        <f>HYPERLINK("http://examplebusiness.comclient-center/piwik.php","http://examplebusiness.comclient-center/piwik.php")</f>
        <v>http://examplebusiness.comclient-center/piwik.php</v>
      </c>
      <c r="B889" s="34">
        <v>4</v>
      </c>
      <c r="C889" s="34">
        <v>0</v>
      </c>
      <c r="D889" s="34">
        <v>0</v>
      </c>
      <c r="E889" s="34">
        <v>0</v>
      </c>
      <c r="F889" s="34">
        <v>301</v>
      </c>
      <c r="G889" s="34">
        <v>0</v>
      </c>
      <c r="H889" s="34"/>
      <c r="I889" s="34" t="s">
        <v>1561</v>
      </c>
      <c r="J889" s="34" t="s">
        <v>1561</v>
      </c>
      <c r="K889" s="107" t="s">
        <v>1561</v>
      </c>
      <c r="L889" s="34" t="s">
        <v>1561</v>
      </c>
    </row>
    <row r="890" spans="1:12" ht="16.5" x14ac:dyDescent="0.35">
      <c r="A890" s="110" t="str">
        <f>HYPERLINK("http://www.examplebusiness.comclient-events/","http://www.examplebusiness.comclient-events/")</f>
        <v>http://www.examplebusiness.comclient-events/</v>
      </c>
      <c r="B890" s="34">
        <v>4</v>
      </c>
      <c r="C890" s="34">
        <v>0</v>
      </c>
      <c r="D890" s="34">
        <v>0</v>
      </c>
      <c r="E890" s="34">
        <v>0</v>
      </c>
      <c r="F890" s="34">
        <v>301</v>
      </c>
      <c r="G890" s="34">
        <v>0</v>
      </c>
      <c r="H890" s="34"/>
      <c r="I890" s="34" t="s">
        <v>1561</v>
      </c>
      <c r="J890" s="34" t="s">
        <v>1561</v>
      </c>
      <c r="K890" s="107" t="s">
        <v>1561</v>
      </c>
      <c r="L890" s="34" t="s">
        <v>1561</v>
      </c>
    </row>
    <row r="891" spans="1:12" ht="16.5" x14ac:dyDescent="0.35">
      <c r="A891" s="110" t="str">
        <f>HYPERLINK("http://www.examplebusiness.comCLIENT_EVENTS.aspx","http://www.examplebusiness.comCLIENT_EVENTS.aspx")</f>
        <v>http://www.examplebusiness.comCLIENT_EVENTS.aspx</v>
      </c>
      <c r="B891" s="34">
        <v>4</v>
      </c>
      <c r="C891" s="34">
        <v>0</v>
      </c>
      <c r="D891" s="34">
        <v>0</v>
      </c>
      <c r="E891" s="34">
        <v>0</v>
      </c>
      <c r="F891" s="34">
        <v>301</v>
      </c>
      <c r="G891" s="34">
        <v>0</v>
      </c>
      <c r="H891" s="34"/>
      <c r="I891" s="34" t="s">
        <v>1561</v>
      </c>
      <c r="J891" s="34" t="s">
        <v>1561</v>
      </c>
      <c r="K891" s="107" t="s">
        <v>1561</v>
      </c>
      <c r="L891" s="34" t="s">
        <v>1561</v>
      </c>
    </row>
    <row r="892" spans="1:12" ht="16.5" x14ac:dyDescent="0.35">
      <c r="A892" s="110" t="str">
        <f>HYPERLINK("http://www.examplebusiness.comCommonwealth_Research_Team.aspx","http://www.examplebusiness.comCommonwealth_Research_Team.aspx")</f>
        <v>http://www.examplebusiness.comCommonwealth_Research_Team.aspx</v>
      </c>
      <c r="B892" s="34">
        <v>4</v>
      </c>
      <c r="C892" s="34">
        <v>0</v>
      </c>
      <c r="D892" s="34">
        <v>0</v>
      </c>
      <c r="E892" s="34">
        <v>0</v>
      </c>
      <c r="F892" s="34">
        <v>301</v>
      </c>
      <c r="G892" s="34">
        <v>0</v>
      </c>
      <c r="H892" s="34"/>
      <c r="I892" s="34" t="s">
        <v>1561</v>
      </c>
      <c r="J892" s="34" t="s">
        <v>1561</v>
      </c>
      <c r="K892" s="107" t="s">
        <v>1561</v>
      </c>
      <c r="L892" s="34" t="s">
        <v>1561</v>
      </c>
    </row>
    <row r="893" spans="1:12" ht="16.5" x14ac:dyDescent="0.35">
      <c r="A893" s="110" t="str">
        <f>HYPERLINK("http://www.examplebusiness.comcommunity/","http://www.examplebusiness.comcommunity/")</f>
        <v>http://www.examplebusiness.comcommunity/</v>
      </c>
      <c r="B893" s="34">
        <v>4</v>
      </c>
      <c r="C893" s="34">
        <v>0</v>
      </c>
      <c r="D893" s="34">
        <v>0</v>
      </c>
      <c r="E893" s="34">
        <v>0</v>
      </c>
      <c r="F893" s="34">
        <v>301</v>
      </c>
      <c r="G893" s="34">
        <v>0</v>
      </c>
      <c r="H893" s="34"/>
      <c r="I893" s="34" t="s">
        <v>1561</v>
      </c>
      <c r="J893" s="34" t="s">
        <v>1561</v>
      </c>
      <c r="K893" s="107" t="s">
        <v>1561</v>
      </c>
      <c r="L893" s="34" t="s">
        <v>1561</v>
      </c>
    </row>
    <row r="894" spans="1:12" ht="16.5" x14ac:dyDescent="0.35">
      <c r="A894" s="110" t="str">
        <f>HYPERLINK("http://examplebusiness.comcommunity/","http://examplebusiness.comcommunity/")</f>
        <v>http://examplebusiness.comcommunity/</v>
      </c>
      <c r="B894" s="34">
        <v>4</v>
      </c>
      <c r="C894" s="34">
        <v>0</v>
      </c>
      <c r="D894" s="34">
        <v>0</v>
      </c>
      <c r="E894" s="34">
        <v>0</v>
      </c>
      <c r="F894" s="34">
        <v>301</v>
      </c>
      <c r="G894" s="34">
        <v>0</v>
      </c>
      <c r="H894" s="34"/>
      <c r="I894" s="34" t="s">
        <v>1561</v>
      </c>
      <c r="J894" s="34" t="s">
        <v>1561</v>
      </c>
      <c r="K894" s="107" t="s">
        <v>1561</v>
      </c>
      <c r="L894" s="34" t="s">
        <v>1561</v>
      </c>
    </row>
    <row r="895" spans="1:12" ht="16.5" x14ac:dyDescent="0.35">
      <c r="A895" s="110" t="str">
        <f>HYPERLINK("http://examplebusiness.comcommunity","http://examplebusiness.comcommunity")</f>
        <v>http://examplebusiness.comcommunity</v>
      </c>
      <c r="B895" s="34">
        <v>4</v>
      </c>
      <c r="C895" s="34">
        <v>0</v>
      </c>
      <c r="D895" s="34">
        <v>0</v>
      </c>
      <c r="E895" s="34">
        <v>0</v>
      </c>
      <c r="F895" s="34">
        <v>301</v>
      </c>
      <c r="G895" s="34">
        <v>0</v>
      </c>
      <c r="H895" s="34"/>
      <c r="I895" s="34" t="s">
        <v>1561</v>
      </c>
      <c r="J895" s="34" t="s">
        <v>1561</v>
      </c>
      <c r="K895" s="107" t="s">
        <v>1561</v>
      </c>
      <c r="L895" s="34" t="s">
        <v>1561</v>
      </c>
    </row>
    <row r="896" spans="1:12" ht="16.5" x14ac:dyDescent="0.35">
      <c r="A896" s="110" t="str">
        <f>HYPERLINK("http://www.examplebusiness.comcontact/","http://www.examplebusiness.comcontact/")</f>
        <v>http://www.examplebusiness.comcontact/</v>
      </c>
      <c r="B896" s="34">
        <v>4</v>
      </c>
      <c r="C896" s="34">
        <v>0</v>
      </c>
      <c r="D896" s="34">
        <v>0</v>
      </c>
      <c r="E896" s="34">
        <v>0</v>
      </c>
      <c r="F896" s="34">
        <v>301</v>
      </c>
      <c r="G896" s="34">
        <v>0</v>
      </c>
      <c r="H896" s="34"/>
      <c r="I896" s="34" t="s">
        <v>1561</v>
      </c>
      <c r="J896" s="34" t="s">
        <v>1561</v>
      </c>
      <c r="K896" s="107" t="s">
        <v>1561</v>
      </c>
      <c r="L896" s="34" t="s">
        <v>1561</v>
      </c>
    </row>
    <row r="897" spans="1:12" ht="16.5" x14ac:dyDescent="0.35">
      <c r="A897" s="110" t="str">
        <f>HYPERLINK("http://examplebusiness.comcontact/","http://examplebusiness.comcontact/")</f>
        <v>http://examplebusiness.comcontact/</v>
      </c>
      <c r="B897" s="34">
        <v>4</v>
      </c>
      <c r="C897" s="34">
        <v>0</v>
      </c>
      <c r="D897" s="34">
        <v>0</v>
      </c>
      <c r="E897" s="34">
        <v>0</v>
      </c>
      <c r="F897" s="34">
        <v>301</v>
      </c>
      <c r="G897" s="34">
        <v>0</v>
      </c>
      <c r="H897" s="34"/>
      <c r="I897" s="34" t="s">
        <v>1561</v>
      </c>
      <c r="J897" s="34" t="s">
        <v>1561</v>
      </c>
      <c r="K897" s="107" t="s">
        <v>1561</v>
      </c>
      <c r="L897" s="34" t="s">
        <v>1561</v>
      </c>
    </row>
    <row r="898" spans="1:12" ht="16.5" x14ac:dyDescent="0.35">
      <c r="A898" s="110" t="str">
        <f>HYPERLINK("http://www.examplebusiness.comContact%20Us%20Page.aspx","http://www.examplebusiness.comContact%20Us%20Page.aspx")</f>
        <v>http://www.examplebusiness.comContact%20Us%20Page.aspx</v>
      </c>
      <c r="B898" s="34">
        <v>4</v>
      </c>
      <c r="C898" s="34">
        <v>0</v>
      </c>
      <c r="D898" s="34">
        <v>0</v>
      </c>
      <c r="E898" s="34">
        <v>0</v>
      </c>
      <c r="F898" s="34">
        <v>301</v>
      </c>
      <c r="G898" s="34">
        <v>0</v>
      </c>
      <c r="H898" s="34"/>
      <c r="I898" s="34" t="s">
        <v>1561</v>
      </c>
      <c r="J898" s="34" t="s">
        <v>1561</v>
      </c>
      <c r="K898" s="107" t="s">
        <v>1561</v>
      </c>
      <c r="L898" s="34" t="s">
        <v>1561</v>
      </c>
    </row>
    <row r="899" spans="1:12" ht="16.5" x14ac:dyDescent="0.35">
      <c r="A899" s="110" t="str">
        <f>HYPERLINK("http://www.examplebusiness.comcontact-us/","http://www.examplebusiness.comcontact-us/")</f>
        <v>http://www.examplebusiness.comcontact-us/</v>
      </c>
      <c r="B899" s="34">
        <v>4</v>
      </c>
      <c r="C899" s="34">
        <v>0</v>
      </c>
      <c r="D899" s="34">
        <v>0</v>
      </c>
      <c r="E899" s="34">
        <v>0</v>
      </c>
      <c r="F899" s="34">
        <v>301</v>
      </c>
      <c r="G899" s="34">
        <v>0</v>
      </c>
      <c r="H899" s="34"/>
      <c r="I899" s="34" t="s">
        <v>1561</v>
      </c>
      <c r="J899" s="34" t="s">
        <v>1561</v>
      </c>
      <c r="K899" s="107" t="s">
        <v>1561</v>
      </c>
      <c r="L899" s="34" t="s">
        <v>1561</v>
      </c>
    </row>
    <row r="900" spans="1:12" ht="16.5" x14ac:dyDescent="0.35">
      <c r="A900" s="110" t="str">
        <f>HYPERLINK("http://www.examplebusiness.comcontact-us","http://www.examplebusiness.comcontact-us")</f>
        <v>http://www.examplebusiness.comcontact-us</v>
      </c>
      <c r="B900" s="34">
        <v>4</v>
      </c>
      <c r="C900" s="34">
        <v>0</v>
      </c>
      <c r="D900" s="34">
        <v>0</v>
      </c>
      <c r="E900" s="34">
        <v>0</v>
      </c>
      <c r="F900" s="34">
        <v>301</v>
      </c>
      <c r="G900" s="34">
        <v>0</v>
      </c>
      <c r="H900" s="34"/>
      <c r="I900" s="34" t="s">
        <v>1561</v>
      </c>
      <c r="J900" s="34" t="s">
        <v>1561</v>
      </c>
      <c r="K900" s="107" t="s">
        <v>1561</v>
      </c>
      <c r="L900" s="34" t="s">
        <v>1561</v>
      </c>
    </row>
    <row r="901" spans="1:12" ht="16.5" x14ac:dyDescent="0.35">
      <c r="A901" s="110" t="str">
        <f>HYPERLINK("http://examplebusiness.comcontact-us/","http://examplebusiness.comcontact-us/")</f>
        <v>http://examplebusiness.comcontact-us/</v>
      </c>
      <c r="B901" s="34">
        <v>4</v>
      </c>
      <c r="C901" s="34">
        <v>0</v>
      </c>
      <c r="D901" s="34">
        <v>0</v>
      </c>
      <c r="E901" s="34">
        <v>0</v>
      </c>
      <c r="F901" s="34">
        <v>301</v>
      </c>
      <c r="G901" s="34">
        <v>0</v>
      </c>
      <c r="H901" s="34"/>
      <c r="I901" s="34" t="s">
        <v>1561</v>
      </c>
      <c r="J901" s="34" t="s">
        <v>1561</v>
      </c>
      <c r="K901" s="107" t="s">
        <v>1561</v>
      </c>
      <c r="L901" s="34" t="s">
        <v>1561</v>
      </c>
    </row>
    <row r="902" spans="1:12" ht="16.5" x14ac:dyDescent="0.35">
      <c r="A902" s="110" t="str">
        <f>HYPERLINK("http://examplebusiness.comcontact-us","http://examplebusiness.comcontact-us")</f>
        <v>http://examplebusiness.comcontact-us</v>
      </c>
      <c r="B902" s="34">
        <v>4</v>
      </c>
      <c r="C902" s="34">
        <v>0</v>
      </c>
      <c r="D902" s="34">
        <v>0</v>
      </c>
      <c r="E902" s="34">
        <v>0</v>
      </c>
      <c r="F902" s="34">
        <v>301</v>
      </c>
      <c r="G902" s="34">
        <v>0</v>
      </c>
      <c r="H902" s="34"/>
      <c r="I902" s="34" t="s">
        <v>1561</v>
      </c>
      <c r="J902" s="34" t="s">
        <v>1561</v>
      </c>
      <c r="K902" s="107" t="s">
        <v>1561</v>
      </c>
      <c r="L902" s="34" t="s">
        <v>1561</v>
      </c>
    </row>
    <row r="903" spans="1:12" ht="16.5" x14ac:dyDescent="0.35">
      <c r="A903" s="110" t="str">
        <f>HYPERLINK("http://www.examplebusiness.comcontact-us/piwik.php","http://www.examplebusiness.comcontact-us/piwik.php")</f>
        <v>http://www.examplebusiness.comcontact-us/piwik.php</v>
      </c>
      <c r="B903" s="34">
        <v>4</v>
      </c>
      <c r="C903" s="34">
        <v>0</v>
      </c>
      <c r="D903" s="34">
        <v>0</v>
      </c>
      <c r="E903" s="34">
        <v>0</v>
      </c>
      <c r="F903" s="34">
        <v>301</v>
      </c>
      <c r="G903" s="34">
        <v>0</v>
      </c>
      <c r="H903" s="34"/>
      <c r="I903" s="34" t="s">
        <v>1561</v>
      </c>
      <c r="J903" s="34" t="s">
        <v>1561</v>
      </c>
      <c r="K903" s="107" t="s">
        <v>1561</v>
      </c>
      <c r="L903" s="34" t="s">
        <v>1561</v>
      </c>
    </row>
    <row r="904" spans="1:12" ht="16.5" x14ac:dyDescent="0.35">
      <c r="A904" s="110" t="str">
        <f>HYPERLINK("http://www.examplebusiness.comContact_Us.aspx","http://www.examplebusiness.comContact_Us.aspx")</f>
        <v>http://www.examplebusiness.comContact_Us.aspx</v>
      </c>
      <c r="B904" s="34">
        <v>4</v>
      </c>
      <c r="C904" s="34">
        <v>0</v>
      </c>
      <c r="D904" s="34">
        <v>0</v>
      </c>
      <c r="E904" s="34">
        <v>0</v>
      </c>
      <c r="F904" s="34">
        <v>301</v>
      </c>
      <c r="G904" s="34">
        <v>0</v>
      </c>
      <c r="H904" s="34"/>
      <c r="I904" s="34" t="s">
        <v>1561</v>
      </c>
      <c r="J904" s="34" t="s">
        <v>1561</v>
      </c>
      <c r="K904" s="107" t="s">
        <v>1561</v>
      </c>
      <c r="L904" s="34" t="s">
        <v>1561</v>
      </c>
    </row>
    <row r="905" spans="1:12" ht="16.5" x14ac:dyDescent="0.35">
      <c r="A905" s="110" t="str">
        <f>HYPERLINK("http://www.examplebusiness.comcontactus.aspx","http://www.examplebusiness.comcontactus.aspx")</f>
        <v>http://www.examplebusiness.comcontactus.aspx</v>
      </c>
      <c r="B905" s="34">
        <v>4</v>
      </c>
      <c r="C905" s="34">
        <v>0</v>
      </c>
      <c r="D905" s="34">
        <v>0</v>
      </c>
      <c r="E905" s="34">
        <v>0</v>
      </c>
      <c r="F905" s="34">
        <v>301</v>
      </c>
      <c r="G905" s="34">
        <v>0</v>
      </c>
      <c r="H905" s="34"/>
      <c r="I905" s="34" t="s">
        <v>1561</v>
      </c>
      <c r="J905" s="34" t="s">
        <v>1561</v>
      </c>
      <c r="K905" s="107" t="s">
        <v>1561</v>
      </c>
      <c r="L905" s="34" t="s">
        <v>1561</v>
      </c>
    </row>
    <row r="906" spans="1:12" ht="16.5" x14ac:dyDescent="0.35">
      <c r="A906" s="110" t="str">
        <f>HYPERLINK("http://examplebusiness.comcontactus.aspx","http://examplebusiness.comcontactus.aspx")</f>
        <v>http://examplebusiness.comcontactus.aspx</v>
      </c>
      <c r="B906" s="34">
        <v>4</v>
      </c>
      <c r="C906" s="34">
        <v>0</v>
      </c>
      <c r="D906" s="34">
        <v>0</v>
      </c>
      <c r="E906" s="34">
        <v>0</v>
      </c>
      <c r="F906" s="34">
        <v>301</v>
      </c>
      <c r="G906" s="34">
        <v>0</v>
      </c>
      <c r="H906" s="34"/>
      <c r="I906" s="34" t="s">
        <v>1561</v>
      </c>
      <c r="J906" s="34" t="s">
        <v>1561</v>
      </c>
      <c r="K906" s="107" t="s">
        <v>1561</v>
      </c>
      <c r="L906" s="34" t="s">
        <v>1561</v>
      </c>
    </row>
    <row r="907" spans="1:12" ht="16.5" x14ac:dyDescent="0.35">
      <c r="A907" s="110" t="str">
        <f>HYPERLINK("http://www.examplebusiness.comdetroit-bankruptcy/","http://www.examplebusiness.comdetroit-bankruptcy/")</f>
        <v>http://www.examplebusiness.comdetroit-bankruptcy/</v>
      </c>
      <c r="B907" s="34">
        <v>4</v>
      </c>
      <c r="C907" s="34">
        <v>0</v>
      </c>
      <c r="D907" s="34">
        <v>0</v>
      </c>
      <c r="E907" s="34">
        <v>0</v>
      </c>
      <c r="F907" s="34">
        <v>301</v>
      </c>
      <c r="G907" s="34">
        <v>0</v>
      </c>
      <c r="H907" s="34"/>
      <c r="I907" s="34" t="s">
        <v>1561</v>
      </c>
      <c r="J907" s="34" t="s">
        <v>1561</v>
      </c>
      <c r="K907" s="107" t="s">
        <v>1561</v>
      </c>
      <c r="L907" s="34" t="s">
        <v>1561</v>
      </c>
    </row>
    <row r="908" spans="1:12" ht="16.5" x14ac:dyDescent="0.35">
      <c r="A908" s="110" t="str">
        <f>HYPERLINK("http://examplebusiness.comdetroit-bankruptcy/","http://examplebusiness.comdetroit-bankruptcy/")</f>
        <v>http://examplebusiness.comdetroit-bankruptcy/</v>
      </c>
      <c r="B908" s="34">
        <v>4</v>
      </c>
      <c r="C908" s="34">
        <v>0</v>
      </c>
      <c r="D908" s="34">
        <v>0</v>
      </c>
      <c r="E908" s="34">
        <v>0</v>
      </c>
      <c r="F908" s="34">
        <v>301</v>
      </c>
      <c r="G908" s="34">
        <v>0</v>
      </c>
      <c r="H908" s="34"/>
      <c r="I908" s="34" t="s">
        <v>1561</v>
      </c>
      <c r="J908" s="34" t="s">
        <v>1561</v>
      </c>
      <c r="K908" s="107" t="s">
        <v>1561</v>
      </c>
      <c r="L908" s="34" t="s">
        <v>1561</v>
      </c>
    </row>
    <row r="909" spans="1:12" ht="16.5" x14ac:dyDescent="0.35">
      <c r="A909" s="110" t="str">
        <f>HYPERLINK("http://examplebusiness.comdow-3-year-high-discussed/","http://examplebusiness.comdow-3-year-high-discussed/")</f>
        <v>http://examplebusiness.comdow-3-year-high-discussed/</v>
      </c>
      <c r="B909" s="34">
        <v>4</v>
      </c>
      <c r="C909" s="34">
        <v>0</v>
      </c>
      <c r="D909" s="34">
        <v>0</v>
      </c>
      <c r="E909" s="34">
        <v>0</v>
      </c>
      <c r="F909" s="34">
        <v>301</v>
      </c>
      <c r="G909" s="34">
        <v>0</v>
      </c>
      <c r="H909" s="34"/>
      <c r="I909" s="34" t="s">
        <v>1561</v>
      </c>
      <c r="J909" s="34" t="s">
        <v>1561</v>
      </c>
      <c r="K909" s="107" t="s">
        <v>1561</v>
      </c>
      <c r="L909" s="34" t="s">
        <v>1561</v>
      </c>
    </row>
    <row r="910" spans="1:12" ht="16.5" x14ac:dyDescent="0.35">
      <c r="A910" s="110" t="str">
        <f>HYPERLINK("http://examplebusiness.comdow-dives/","http://examplebusiness.comdow-dives/")</f>
        <v>http://examplebusiness.comdow-dives/</v>
      </c>
      <c r="B910" s="34">
        <v>4</v>
      </c>
      <c r="C910" s="34">
        <v>0</v>
      </c>
      <c r="D910" s="34">
        <v>0</v>
      </c>
      <c r="E910" s="34">
        <v>0</v>
      </c>
      <c r="F910" s="34">
        <v>301</v>
      </c>
      <c r="G910" s="34">
        <v>0</v>
      </c>
      <c r="H910" s="34"/>
      <c r="I910" s="34" t="s">
        <v>1561</v>
      </c>
      <c r="J910" s="34" t="s">
        <v>1561</v>
      </c>
      <c r="K910" s="107" t="s">
        <v>1561</v>
      </c>
      <c r="L910" s="34" t="s">
        <v>1561</v>
      </c>
    </row>
    <row r="911" spans="1:12" ht="16.5" x14ac:dyDescent="0.35">
      <c r="A911" s="110" t="str">
        <f>HYPERLINK("http://examplebusiness.comdow-jones-milestone/","http://examplebusiness.comdow-jones-milestone/")</f>
        <v>http://examplebusiness.comdow-jones-milestone/</v>
      </c>
      <c r="B911" s="34">
        <v>4</v>
      </c>
      <c r="C911" s="34">
        <v>0</v>
      </c>
      <c r="D911" s="34">
        <v>0</v>
      </c>
      <c r="E911" s="34">
        <v>0</v>
      </c>
      <c r="F911" s="34">
        <v>301</v>
      </c>
      <c r="G911" s="34">
        <v>0</v>
      </c>
      <c r="H911" s="34"/>
      <c r="I911" s="34" t="s">
        <v>1561</v>
      </c>
      <c r="J911" s="34" t="s">
        <v>1561</v>
      </c>
      <c r="K911" s="107" t="s">
        <v>1561</v>
      </c>
      <c r="L911" s="34" t="s">
        <v>1561</v>
      </c>
    </row>
    <row r="912" spans="1:12" ht="16.5" x14ac:dyDescent="0.35">
      <c r="A912" s="110" t="str">
        <f>HYPERLINK("http://www.examplebusiness.comDriving_Directions.aspx","http://www.examplebusiness.comDriving_Directions.aspx")</f>
        <v>http://www.examplebusiness.comDriving_Directions.aspx</v>
      </c>
      <c r="B912" s="34">
        <v>4</v>
      </c>
      <c r="C912" s="34">
        <v>0</v>
      </c>
      <c r="D912" s="34">
        <v>0</v>
      </c>
      <c r="E912" s="34">
        <v>0</v>
      </c>
      <c r="F912" s="34">
        <v>301</v>
      </c>
      <c r="G912" s="34">
        <v>0</v>
      </c>
      <c r="H912" s="34"/>
      <c r="I912" s="34" t="s">
        <v>1561</v>
      </c>
      <c r="J912" s="34" t="s">
        <v>1561</v>
      </c>
      <c r="K912" s="107" t="s">
        <v>1561</v>
      </c>
      <c r="L912" s="34" t="s">
        <v>1561</v>
      </c>
    </row>
    <row r="913" spans="1:12" ht="16.5" x14ac:dyDescent="0.35">
      <c r="A913" s="110" t="str">
        <f>HYPERLINK("http://www.examplebusiness.comE-Newsletter_Sign_Up.aspx","http://www.examplebusiness.comE-Newsletter_Sign_Up.aspx")</f>
        <v>http://www.examplebusiness.comE-Newsletter_Sign_Up.aspx</v>
      </c>
      <c r="B913" s="34">
        <v>4</v>
      </c>
      <c r="C913" s="34">
        <v>0</v>
      </c>
      <c r="D913" s="34">
        <v>0</v>
      </c>
      <c r="E913" s="34">
        <v>0</v>
      </c>
      <c r="F913" s="34">
        <v>301</v>
      </c>
      <c r="G913" s="34">
        <v>0</v>
      </c>
      <c r="H913" s="34"/>
      <c r="I913" s="34" t="s">
        <v>1561</v>
      </c>
      <c r="J913" s="34" t="s">
        <v>1561</v>
      </c>
      <c r="K913" s="107" t="s">
        <v>1561</v>
      </c>
      <c r="L913" s="34" t="s">
        <v>1561</v>
      </c>
    </row>
    <row r="914" spans="1:12" ht="16.5" x14ac:dyDescent="0.35">
      <c r="A914" s="110" t="str">
        <f>HYPERLINK("http://www.examplebusiness.comeducation/","http://www.examplebusiness.comeducation/")</f>
        <v>http://www.examplebusiness.comeducation/</v>
      </c>
      <c r="B914" s="34">
        <v>4</v>
      </c>
      <c r="C914" s="34">
        <v>0</v>
      </c>
      <c r="D914" s="34">
        <v>0</v>
      </c>
      <c r="E914" s="34">
        <v>0</v>
      </c>
      <c r="F914" s="34">
        <v>301</v>
      </c>
      <c r="G914" s="34">
        <v>0</v>
      </c>
      <c r="H914" s="34"/>
      <c r="I914" s="34" t="s">
        <v>1561</v>
      </c>
      <c r="J914" s="34" t="s">
        <v>1561</v>
      </c>
      <c r="K914" s="107" t="s">
        <v>1561</v>
      </c>
      <c r="L914" s="34" t="s">
        <v>1561</v>
      </c>
    </row>
    <row r="915" spans="1:12" ht="16.5" x14ac:dyDescent="0.35">
      <c r="A915" s="110" t="str">
        <f>HYPERLINK("http://examplebusiness.comeducational-events/","http://examplebusiness.comeducational-events/")</f>
        <v>http://examplebusiness.comeducational-events/</v>
      </c>
      <c r="B915" s="34">
        <v>4</v>
      </c>
      <c r="C915" s="34">
        <v>0</v>
      </c>
      <c r="D915" s="34">
        <v>0</v>
      </c>
      <c r="E915" s="34">
        <v>0</v>
      </c>
      <c r="F915" s="34">
        <v>301</v>
      </c>
      <c r="G915" s="34">
        <v>0</v>
      </c>
      <c r="H915" s="34"/>
      <c r="I915" s="34" t="s">
        <v>1561</v>
      </c>
      <c r="J915" s="34" t="s">
        <v>1561</v>
      </c>
      <c r="K915" s="107" t="s">
        <v>1561</v>
      </c>
      <c r="L915" s="34" t="s">
        <v>1561</v>
      </c>
    </row>
    <row r="916" spans="1:12" ht="16.5" x14ac:dyDescent="0.35">
      <c r="A916" s="110" t="str">
        <f>HYPERLINK("http://examplebusiness.comeducational-events","http://examplebusiness.comeducational-events")</f>
        <v>http://examplebusiness.comeducational-events</v>
      </c>
      <c r="B916" s="34">
        <v>4</v>
      </c>
      <c r="C916" s="34">
        <v>0</v>
      </c>
      <c r="D916" s="34">
        <v>0</v>
      </c>
      <c r="E916" s="34">
        <v>0</v>
      </c>
      <c r="F916" s="34">
        <v>301</v>
      </c>
      <c r="G916" s="34">
        <v>0</v>
      </c>
      <c r="H916" s="34"/>
      <c r="I916" s="34" t="s">
        <v>1561</v>
      </c>
      <c r="J916" s="34" t="s">
        <v>1561</v>
      </c>
      <c r="K916" s="107" t="s">
        <v>1561</v>
      </c>
      <c r="L916" s="34" t="s">
        <v>1561</v>
      </c>
    </row>
    <row r="917" spans="1:12" ht="16.5" x14ac:dyDescent="0.35">
      <c r="A917" s="110" t="str">
        <f>HYPERLINK("http://www.examplebusiness.comEstate_Planning.aspx","http://www.examplebusiness.comEstate_Planning.aspx")</f>
        <v>http://www.examplebusiness.comEstate_Planning.aspx</v>
      </c>
      <c r="B917" s="34">
        <v>4</v>
      </c>
      <c r="C917" s="34">
        <v>0</v>
      </c>
      <c r="D917" s="34">
        <v>0</v>
      </c>
      <c r="E917" s="34">
        <v>0</v>
      </c>
      <c r="F917" s="34">
        <v>301</v>
      </c>
      <c r="G917" s="34">
        <v>0</v>
      </c>
      <c r="H917" s="34"/>
      <c r="I917" s="34" t="s">
        <v>1561</v>
      </c>
      <c r="J917" s="34" t="s">
        <v>1561</v>
      </c>
      <c r="K917" s="107" t="s">
        <v>1561</v>
      </c>
      <c r="L917" s="34" t="s">
        <v>1561</v>
      </c>
    </row>
    <row r="918" spans="1:12" ht="16.5" x14ac:dyDescent="0.35">
      <c r="A918" s="110" t="str">
        <f>HYPERLINK("http://www.examplebusiness.comFiduciary_Management.aspx","http://www.examplebusiness.comFiduciary_Management.aspx")</f>
        <v>http://www.examplebusiness.comFiduciary_Management.aspx</v>
      </c>
      <c r="B918" s="34">
        <v>4</v>
      </c>
      <c r="C918" s="34">
        <v>0</v>
      </c>
      <c r="D918" s="34">
        <v>0</v>
      </c>
      <c r="E918" s="34">
        <v>0</v>
      </c>
      <c r="F918" s="34">
        <v>301</v>
      </c>
      <c r="G918" s="34">
        <v>0</v>
      </c>
      <c r="H918" s="34"/>
      <c r="I918" s="34" t="s">
        <v>1561</v>
      </c>
      <c r="J918" s="34" t="s">
        <v>1561</v>
      </c>
      <c r="K918" s="107" t="s">
        <v>1561</v>
      </c>
      <c r="L918" s="34" t="s">
        <v>1561</v>
      </c>
    </row>
    <row r="919" spans="1:12" ht="16.5" x14ac:dyDescent="0.35">
      <c r="A919" s="110" t="str">
        <f>HYPERLINK("http://www.examplebusiness.comfinancial-calculators/","http://www.examplebusiness.comfinancial-calculators/")</f>
        <v>http://www.examplebusiness.comfinancial-calculators/</v>
      </c>
      <c r="B919" s="34">
        <v>4</v>
      </c>
      <c r="C919" s="34">
        <v>0</v>
      </c>
      <c r="D919" s="34">
        <v>0</v>
      </c>
      <c r="E919" s="34">
        <v>0</v>
      </c>
      <c r="F919" s="34">
        <v>301</v>
      </c>
      <c r="G919" s="34">
        <v>0</v>
      </c>
      <c r="H919" s="34"/>
      <c r="I919" s="34" t="s">
        <v>1561</v>
      </c>
      <c r="J919" s="34" t="s">
        <v>1561</v>
      </c>
      <c r="K919" s="107" t="s">
        <v>1561</v>
      </c>
      <c r="L919" s="34" t="s">
        <v>1561</v>
      </c>
    </row>
    <row r="920" spans="1:12" ht="16.5" x14ac:dyDescent="0.35">
      <c r="A920" s="110" t="str">
        <f>HYPERLINK("http://examplebusiness.comfinancial-calculators/","http://examplebusiness.comfinancial-calculators/")</f>
        <v>http://examplebusiness.comfinancial-calculators/</v>
      </c>
      <c r="B920" s="34">
        <v>4</v>
      </c>
      <c r="C920" s="34">
        <v>0</v>
      </c>
      <c r="D920" s="34">
        <v>0</v>
      </c>
      <c r="E920" s="34">
        <v>0</v>
      </c>
      <c r="F920" s="34">
        <v>301</v>
      </c>
      <c r="G920" s="34">
        <v>0</v>
      </c>
      <c r="H920" s="34"/>
      <c r="I920" s="34" t="s">
        <v>1561</v>
      </c>
      <c r="J920" s="34" t="s">
        <v>1561</v>
      </c>
      <c r="K920" s="107" t="s">
        <v>1561</v>
      </c>
      <c r="L920" s="34" t="s">
        <v>1561</v>
      </c>
    </row>
    <row r="921" spans="1:12" ht="16.5" x14ac:dyDescent="0.35">
      <c r="A921" s="110" t="str">
        <f>HYPERLINK("http://examplebusiness.comfinancial-calculators","http://examplebusiness.comfinancial-calculators")</f>
        <v>http://examplebusiness.comfinancial-calculators</v>
      </c>
      <c r="B921" s="34">
        <v>4</v>
      </c>
      <c r="C921" s="34">
        <v>0</v>
      </c>
      <c r="D921" s="34">
        <v>0</v>
      </c>
      <c r="E921" s="34">
        <v>0</v>
      </c>
      <c r="F921" s="34">
        <v>301</v>
      </c>
      <c r="G921" s="34">
        <v>0</v>
      </c>
      <c r="H921" s="34"/>
      <c r="I921" s="34" t="s">
        <v>1561</v>
      </c>
      <c r="J921" s="34" t="s">
        <v>1561</v>
      </c>
      <c r="K921" s="107" t="s">
        <v>1561</v>
      </c>
      <c r="L921" s="34" t="s">
        <v>1561</v>
      </c>
    </row>
    <row r="922" spans="1:12" ht="16.5" x14ac:dyDescent="0.35">
      <c r="A922" s="110" t="str">
        <f>HYPERLINK("http://examplebusiness.comfinancial-planners/","http://examplebusiness.comfinancial-planners/")</f>
        <v>http://examplebusiness.comfinancial-planners/</v>
      </c>
      <c r="B922" s="34">
        <v>4</v>
      </c>
      <c r="C922" s="34">
        <v>0</v>
      </c>
      <c r="D922" s="34">
        <v>0</v>
      </c>
      <c r="E922" s="34">
        <v>0</v>
      </c>
      <c r="F922" s="34">
        <v>301</v>
      </c>
      <c r="G922" s="34">
        <v>0</v>
      </c>
      <c r="H922" s="34"/>
      <c r="I922" s="34" t="s">
        <v>1561</v>
      </c>
      <c r="J922" s="34" t="s">
        <v>1561</v>
      </c>
      <c r="K922" s="107" t="s">
        <v>1561</v>
      </c>
      <c r="L922" s="34" t="s">
        <v>1561</v>
      </c>
    </row>
    <row r="923" spans="1:12" ht="16.5" x14ac:dyDescent="0.35">
      <c r="A923" s="110" t="str">
        <f>HYPERLINK("http://examplebusiness.comfinancial-resolutions/","http://examplebusiness.comfinancial-resolutions/")</f>
        <v>http://examplebusiness.comfinancial-resolutions/</v>
      </c>
      <c r="B923" s="34">
        <v>4</v>
      </c>
      <c r="C923" s="34">
        <v>0</v>
      </c>
      <c r="D923" s="34">
        <v>0</v>
      </c>
      <c r="E923" s="34">
        <v>0</v>
      </c>
      <c r="F923" s="34">
        <v>301</v>
      </c>
      <c r="G923" s="34">
        <v>0</v>
      </c>
      <c r="H923" s="34"/>
      <c r="I923" s="34" t="s">
        <v>1561</v>
      </c>
      <c r="J923" s="34" t="s">
        <v>1561</v>
      </c>
      <c r="K923" s="107" t="s">
        <v>1561</v>
      </c>
      <c r="L923" s="34" t="s">
        <v>1561</v>
      </c>
    </row>
    <row r="924" spans="1:12" ht="16.5" x14ac:dyDescent="0.35">
      <c r="A924" s="110" t="str">
        <f>HYPERLINK("http://www.examplebusiness.comFinancial_Fact_vs_Fiction.aspx","http://www.examplebusiness.comFinancial_Fact_vs_Fiction.aspx")</f>
        <v>http://www.examplebusiness.comFinancial_Fact_vs_Fiction.aspx</v>
      </c>
      <c r="B924" s="34">
        <v>4</v>
      </c>
      <c r="C924" s="34">
        <v>0</v>
      </c>
      <c r="D924" s="34">
        <v>0</v>
      </c>
      <c r="E924" s="34">
        <v>0</v>
      </c>
      <c r="F924" s="34">
        <v>301</v>
      </c>
      <c r="G924" s="34">
        <v>0</v>
      </c>
      <c r="H924" s="34"/>
      <c r="I924" s="34" t="s">
        <v>1561</v>
      </c>
      <c r="J924" s="34" t="s">
        <v>1561</v>
      </c>
      <c r="K924" s="107" t="s">
        <v>1561</v>
      </c>
      <c r="L924" s="34" t="s">
        <v>1561</v>
      </c>
    </row>
    <row r="925" spans="1:12" ht="16.5" x14ac:dyDescent="0.35">
      <c r="A925" s="110" t="str">
        <f>HYPERLINK("http://www.examplebusiness.comFinancial_Net_(Automatically_updated).aspx","http://www.examplebusiness.comFinancial_Net_(Automatically_updated).aspx")</f>
        <v>http://www.examplebusiness.comFinancial_Net_(Automatically_updated).aspx</v>
      </c>
      <c r="B925" s="34">
        <v>4</v>
      </c>
      <c r="C925" s="34">
        <v>0</v>
      </c>
      <c r="D925" s="34">
        <v>0</v>
      </c>
      <c r="E925" s="34">
        <v>0</v>
      </c>
      <c r="F925" s="34">
        <v>301</v>
      </c>
      <c r="G925" s="34">
        <v>0</v>
      </c>
      <c r="H925" s="34"/>
      <c r="I925" s="34" t="s">
        <v>1561</v>
      </c>
      <c r="J925" s="34" t="s">
        <v>1561</v>
      </c>
      <c r="K925" s="107" t="s">
        <v>1561</v>
      </c>
      <c r="L925" s="34" t="s">
        <v>1561</v>
      </c>
    </row>
    <row r="926" spans="1:12" ht="16.5" x14ac:dyDescent="0.35">
      <c r="A926" s="110" t="str">
        <f>HYPERLINK("http://www.examplebusiness.comFIVE_STAR.aspx","http://www.examplebusiness.comFIVE_STAR.aspx")</f>
        <v>http://www.examplebusiness.comFIVE_STAR.aspx</v>
      </c>
      <c r="B926" s="34">
        <v>4</v>
      </c>
      <c r="C926" s="34">
        <v>0</v>
      </c>
      <c r="D926" s="34">
        <v>0</v>
      </c>
      <c r="E926" s="34">
        <v>0</v>
      </c>
      <c r="F926" s="34">
        <v>301</v>
      </c>
      <c r="G926" s="34">
        <v>0</v>
      </c>
      <c r="H926" s="34"/>
      <c r="I926" s="34" t="s">
        <v>1561</v>
      </c>
      <c r="J926" s="34" t="s">
        <v>1561</v>
      </c>
      <c r="K926" s="107" t="s">
        <v>1561</v>
      </c>
      <c r="L926" s="34" t="s">
        <v>1561</v>
      </c>
    </row>
    <row r="927" spans="1:12" ht="16.5" x14ac:dyDescent="0.35">
      <c r="A927" s="110" t="str">
        <f>HYPERLINK("http://www.examplebusiness.comForms_-_Appointment_Request.aspx","http://www.examplebusiness.comForms_-_Appointment_Request.aspx")</f>
        <v>http://www.examplebusiness.comForms_-_Appointment_Request.aspx</v>
      </c>
      <c r="B927" s="34">
        <v>4</v>
      </c>
      <c r="C927" s="34">
        <v>0</v>
      </c>
      <c r="D927" s="34">
        <v>0</v>
      </c>
      <c r="E927" s="34">
        <v>0</v>
      </c>
      <c r="F927" s="34">
        <v>301</v>
      </c>
      <c r="G927" s="34">
        <v>0</v>
      </c>
      <c r="H927" s="34"/>
      <c r="I927" s="34" t="s">
        <v>1561</v>
      </c>
      <c r="J927" s="34" t="s">
        <v>1561</v>
      </c>
      <c r="K927" s="107" t="s">
        <v>1561</v>
      </c>
      <c r="L927" s="34" t="s">
        <v>1561</v>
      </c>
    </row>
    <row r="928" spans="1:12" ht="16.5" x14ac:dyDescent="0.35">
      <c r="A928" s="110" t="str">
        <f>HYPERLINK("http://examplebusiness.comForms_-_Appointment_Request.aspx","http://examplebusiness.comForms_-_Appointment_Request.aspx")</f>
        <v>http://examplebusiness.comForms_-_Appointment_Request.aspx</v>
      </c>
      <c r="B928" s="34">
        <v>4</v>
      </c>
      <c r="C928" s="34">
        <v>0</v>
      </c>
      <c r="D928" s="34">
        <v>0</v>
      </c>
      <c r="E928" s="34">
        <v>0</v>
      </c>
      <c r="F928" s="34">
        <v>301</v>
      </c>
      <c r="G928" s="34">
        <v>0</v>
      </c>
      <c r="H928" s="34"/>
      <c r="I928" s="34" t="s">
        <v>1561</v>
      </c>
      <c r="J928" s="34" t="s">
        <v>1561</v>
      </c>
      <c r="K928" s="107" t="s">
        <v>1561</v>
      </c>
      <c r="L928" s="34" t="s">
        <v>1561</v>
      </c>
    </row>
    <row r="929" spans="1:12" ht="16.5" x14ac:dyDescent="0.35">
      <c r="A929" s="110" t="str">
        <f>HYPERLINK("http://www.examplebusiness.comForms_-_Email_Submittal.aspx","http://www.examplebusiness.comForms_-_Email_Submittal.aspx")</f>
        <v>http://www.examplebusiness.comForms_-_Email_Submittal.aspx</v>
      </c>
      <c r="B929" s="34">
        <v>4</v>
      </c>
      <c r="C929" s="34">
        <v>0</v>
      </c>
      <c r="D929" s="34">
        <v>0</v>
      </c>
      <c r="E929" s="34">
        <v>0</v>
      </c>
      <c r="F929" s="34">
        <v>301</v>
      </c>
      <c r="G929" s="34">
        <v>0</v>
      </c>
      <c r="H929" s="34"/>
      <c r="I929" s="34" t="s">
        <v>1561</v>
      </c>
      <c r="J929" s="34" t="s">
        <v>1561</v>
      </c>
      <c r="K929" s="107" t="s">
        <v>1561</v>
      </c>
      <c r="L929" s="34" t="s">
        <v>1561</v>
      </c>
    </row>
    <row r="930" spans="1:12" ht="16.5" x14ac:dyDescent="0.35">
      <c r="A930" s="110" t="str">
        <f>HYPERLINK("http://examplebusiness.comForms_-_Email_Submittal.aspx","http://examplebusiness.comForms_-_Email_Submittal.aspx")</f>
        <v>http://examplebusiness.comForms_-_Email_Submittal.aspx</v>
      </c>
      <c r="B930" s="34">
        <v>4</v>
      </c>
      <c r="C930" s="34">
        <v>0</v>
      </c>
      <c r="D930" s="34">
        <v>0</v>
      </c>
      <c r="E930" s="34">
        <v>0</v>
      </c>
      <c r="F930" s="34">
        <v>301</v>
      </c>
      <c r="G930" s="34">
        <v>0</v>
      </c>
      <c r="H930" s="34"/>
      <c r="I930" s="34" t="s">
        <v>1561</v>
      </c>
      <c r="J930" s="34" t="s">
        <v>1561</v>
      </c>
      <c r="K930" s="107" t="s">
        <v>1561</v>
      </c>
      <c r="L930" s="34" t="s">
        <v>1561</v>
      </c>
    </row>
    <row r="931" spans="1:12" ht="16.5" x14ac:dyDescent="0.35">
      <c r="A931" s="110" t="str">
        <f>HYPERLINK("http://www.examplebusiness.comGatekeeper.aspx","http://www.examplebusiness.comGatekeeper.aspx")</f>
        <v>http://www.examplebusiness.comGatekeeper.aspx</v>
      </c>
      <c r="B931" s="34">
        <v>4</v>
      </c>
      <c r="C931" s="34">
        <v>0</v>
      </c>
      <c r="D931" s="34">
        <v>0</v>
      </c>
      <c r="E931" s="34">
        <v>0</v>
      </c>
      <c r="F931" s="34">
        <v>301</v>
      </c>
      <c r="G931" s="34">
        <v>0</v>
      </c>
      <c r="H931" s="34"/>
      <c r="I931" s="34" t="s">
        <v>1561</v>
      </c>
      <c r="J931" s="34" t="s">
        <v>1561</v>
      </c>
      <c r="K931" s="107" t="s">
        <v>1561</v>
      </c>
      <c r="L931" s="34" t="s">
        <v>1561</v>
      </c>
    </row>
    <row r="932" spans="1:12" ht="16.5" x14ac:dyDescent="0.35">
      <c r="A932" s="110" t="str">
        <f>HYPERLINK("http://www.examplebusiness.comget-a-quote/","http://www.examplebusiness.comget-a-quote/")</f>
        <v>http://www.examplebusiness.comget-a-quote/</v>
      </c>
      <c r="B932" s="34">
        <v>4</v>
      </c>
      <c r="C932" s="34">
        <v>0</v>
      </c>
      <c r="D932" s="34">
        <v>0</v>
      </c>
      <c r="E932" s="34">
        <v>0</v>
      </c>
      <c r="F932" s="34">
        <v>301</v>
      </c>
      <c r="G932" s="34">
        <v>0</v>
      </c>
      <c r="H932" s="34"/>
      <c r="I932" s="34" t="s">
        <v>1561</v>
      </c>
      <c r="J932" s="34" t="s">
        <v>1561</v>
      </c>
      <c r="K932" s="107" t="s">
        <v>1561</v>
      </c>
      <c r="L932" s="34" t="s">
        <v>1561</v>
      </c>
    </row>
    <row r="933" spans="1:12" ht="16.5" x14ac:dyDescent="0.35">
      <c r="A933" s="110" t="str">
        <f>HYPERLINK("http://examplebusiness.comget-a-quote/","http://examplebusiness.comget-a-quote/")</f>
        <v>http://examplebusiness.comget-a-quote/</v>
      </c>
      <c r="B933" s="34">
        <v>4</v>
      </c>
      <c r="C933" s="34">
        <v>0</v>
      </c>
      <c r="D933" s="34">
        <v>0</v>
      </c>
      <c r="E933" s="34">
        <v>0</v>
      </c>
      <c r="F933" s="34">
        <v>301</v>
      </c>
      <c r="G933" s="34">
        <v>0</v>
      </c>
      <c r="H933" s="34"/>
      <c r="I933" s="34" t="s">
        <v>1561</v>
      </c>
      <c r="J933" s="34" t="s">
        <v>1561</v>
      </c>
      <c r="K933" s="107" t="s">
        <v>1561</v>
      </c>
      <c r="L933" s="34" t="s">
        <v>1561</v>
      </c>
    </row>
    <row r="934" spans="1:12" ht="16.5" x14ac:dyDescent="0.35">
      <c r="A934" s="110" t="str">
        <f>HYPERLINK("http://examplebusiness.comgiving-back/","http://examplebusiness.comgiving-back/")</f>
        <v>http://examplebusiness.comgiving-back/</v>
      </c>
      <c r="B934" s="34">
        <v>4</v>
      </c>
      <c r="C934" s="34">
        <v>0</v>
      </c>
      <c r="D934" s="34">
        <v>0</v>
      </c>
      <c r="E934" s="34">
        <v>0</v>
      </c>
      <c r="F934" s="34">
        <v>301</v>
      </c>
      <c r="G934" s="34">
        <v>0</v>
      </c>
      <c r="H934" s="34"/>
      <c r="I934" s="34" t="s">
        <v>1561</v>
      </c>
      <c r="J934" s="34" t="s">
        <v>1561</v>
      </c>
      <c r="K934" s="107" t="s">
        <v>1561</v>
      </c>
      <c r="L934" s="34" t="s">
        <v>1561</v>
      </c>
    </row>
    <row r="935" spans="1:12" ht="16.5" x14ac:dyDescent="0.35">
      <c r="A935" s="110" t="str">
        <f>HYPERLINK("http://examplebusiness.comgreek-debt-crisis/","http://examplebusiness.comgreek-debt-crisis/")</f>
        <v>http://examplebusiness.comgreek-debt-crisis/</v>
      </c>
      <c r="B935" s="34">
        <v>4</v>
      </c>
      <c r="C935" s="34">
        <v>0</v>
      </c>
      <c r="D935" s="34">
        <v>0</v>
      </c>
      <c r="E935" s="34">
        <v>0</v>
      </c>
      <c r="F935" s="34">
        <v>301</v>
      </c>
      <c r="G935" s="34">
        <v>0</v>
      </c>
      <c r="H935" s="34"/>
      <c r="I935" s="34" t="s">
        <v>1561</v>
      </c>
      <c r="J935" s="34" t="s">
        <v>1561</v>
      </c>
      <c r="K935" s="107" t="s">
        <v>1561</v>
      </c>
      <c r="L935" s="34" t="s">
        <v>1561</v>
      </c>
    </row>
    <row r="936" spans="1:12" ht="16.5" x14ac:dyDescent="0.35">
      <c r="A936" s="110" t="str">
        <f>HYPERLINK("http://examplebusiness.comhaving-fun/","http://examplebusiness.comhaving-fun/")</f>
        <v>http://examplebusiness.comhaving-fun/</v>
      </c>
      <c r="B936" s="34">
        <v>4</v>
      </c>
      <c r="C936" s="34">
        <v>0</v>
      </c>
      <c r="D936" s="34">
        <v>0</v>
      </c>
      <c r="E936" s="34">
        <v>0</v>
      </c>
      <c r="F936" s="34">
        <v>301</v>
      </c>
      <c r="G936" s="34">
        <v>0</v>
      </c>
      <c r="H936" s="34"/>
      <c r="I936" s="34" t="s">
        <v>1561</v>
      </c>
      <c r="J936" s="34" t="s">
        <v>1561</v>
      </c>
      <c r="K936" s="107" t="s">
        <v>1561</v>
      </c>
      <c r="L936" s="34" t="s">
        <v>1561</v>
      </c>
    </row>
    <row r="937" spans="1:12" ht="16.5" x14ac:dyDescent="0.35">
      <c r="A937" s="110" t="str">
        <f>HYPERLINK("http://www.examplebusiness.comhistory.aspx","http://www.examplebusiness.comhistory.aspx")</f>
        <v>http://www.examplebusiness.comhistory.aspx</v>
      </c>
      <c r="B937" s="34">
        <v>4</v>
      </c>
      <c r="C937" s="34">
        <v>0</v>
      </c>
      <c r="D937" s="34">
        <v>0</v>
      </c>
      <c r="E937" s="34">
        <v>0</v>
      </c>
      <c r="F937" s="34">
        <v>301</v>
      </c>
      <c r="G937" s="34">
        <v>0</v>
      </c>
      <c r="H937" s="34"/>
      <c r="I937" s="34" t="s">
        <v>1561</v>
      </c>
      <c r="J937" s="34" t="s">
        <v>1561</v>
      </c>
      <c r="K937" s="107" t="s">
        <v>1561</v>
      </c>
      <c r="L937" s="34" t="s">
        <v>1561</v>
      </c>
    </row>
    <row r="938" spans="1:12" ht="16.5" x14ac:dyDescent="0.35">
      <c r="A938" s="110" t="str">
        <f>HYPERLINK("http://examplebusiness.comhistory.aspx","http://examplebusiness.comhistory.aspx")</f>
        <v>http://examplebusiness.comhistory.aspx</v>
      </c>
      <c r="B938" s="34">
        <v>4</v>
      </c>
      <c r="C938" s="34">
        <v>0</v>
      </c>
      <c r="D938" s="34">
        <v>0</v>
      </c>
      <c r="E938" s="34">
        <v>0</v>
      </c>
      <c r="F938" s="34">
        <v>301</v>
      </c>
      <c r="G938" s="34">
        <v>0</v>
      </c>
      <c r="H938" s="34"/>
      <c r="I938" s="34" t="s">
        <v>1561</v>
      </c>
      <c r="J938" s="34" t="s">
        <v>1561</v>
      </c>
      <c r="K938" s="107" t="s">
        <v>1561</v>
      </c>
      <c r="L938" s="34" t="s">
        <v>1561</v>
      </c>
    </row>
    <row r="939" spans="1:12" ht="16.5" x14ac:dyDescent="0.35">
      <c r="A939" s="110" t="str">
        <f>HYPERLINK("http://www.examplebusiness.comHome","http://www.examplebusiness.comHome")</f>
        <v>http://www.examplebusiness.comHome</v>
      </c>
      <c r="B939" s="34">
        <v>4</v>
      </c>
      <c r="C939" s="34">
        <v>0</v>
      </c>
      <c r="D939" s="34">
        <v>0</v>
      </c>
      <c r="E939" s="34">
        <v>0</v>
      </c>
      <c r="F939" s="34">
        <v>301</v>
      </c>
      <c r="G939" s="34">
        <v>0</v>
      </c>
      <c r="H939" s="34"/>
      <c r="I939" s="34" t="s">
        <v>1561</v>
      </c>
      <c r="J939" s="34" t="s">
        <v>1561</v>
      </c>
      <c r="K939" s="107" t="s">
        <v>1561</v>
      </c>
      <c r="L939" s="34" t="s">
        <v>1561</v>
      </c>
    </row>
    <row r="940" spans="1:12" ht="16.5" x14ac:dyDescent="0.35">
      <c r="A940" s="110" t="str">
        <f>HYPERLINK("http://www.examplebusiness.comHome.aspx?","http://www.examplebusiness.comHome.aspx?")</f>
        <v>http://www.examplebusiness.comHome.aspx?</v>
      </c>
      <c r="B940" s="34">
        <v>4</v>
      </c>
      <c r="C940" s="34">
        <v>0</v>
      </c>
      <c r="D940" s="34">
        <v>0</v>
      </c>
      <c r="E940" s="34">
        <v>0</v>
      </c>
      <c r="F940" s="34">
        <v>301</v>
      </c>
      <c r="G940" s="34">
        <v>0</v>
      </c>
      <c r="H940" s="34"/>
      <c r="I940" s="34" t="s">
        <v>1561</v>
      </c>
      <c r="J940" s="34" t="s">
        <v>1561</v>
      </c>
      <c r="K940" s="107" t="s">
        <v>1561</v>
      </c>
      <c r="L940" s="34" t="s">
        <v>1561</v>
      </c>
    </row>
    <row r="941" spans="1:12" ht="16.5" x14ac:dyDescent="0.35">
      <c r="A941" s="110" t="str">
        <f>HYPERLINK("http://www.examplebusiness.comhome.aspx","http://www.examplebusiness.comhome.aspx")</f>
        <v>http://www.examplebusiness.comhome.aspx</v>
      </c>
      <c r="B941" s="34">
        <v>4</v>
      </c>
      <c r="C941" s="34">
        <v>0</v>
      </c>
      <c r="D941" s="34">
        <v>0</v>
      </c>
      <c r="E941" s="34">
        <v>0</v>
      </c>
      <c r="F941" s="34">
        <v>301</v>
      </c>
      <c r="G941" s="34">
        <v>0</v>
      </c>
      <c r="H941" s="34"/>
      <c r="I941" s="34" t="s">
        <v>1561</v>
      </c>
      <c r="J941" s="34" t="s">
        <v>1561</v>
      </c>
      <c r="K941" s="107" t="s">
        <v>1561</v>
      </c>
      <c r="L941" s="34" t="s">
        <v>1561</v>
      </c>
    </row>
    <row r="942" spans="1:12" ht="16.5" x14ac:dyDescent="0.35">
      <c r="A942" s="110" t="str">
        <f>HYPERLINK("http://examplebusiness.comHome.aspx","http://examplebusiness.comHome.aspx")</f>
        <v>http://examplebusiness.comHome.aspx</v>
      </c>
      <c r="B942" s="34">
        <v>4</v>
      </c>
      <c r="C942" s="34">
        <v>0</v>
      </c>
      <c r="D942" s="34">
        <v>0</v>
      </c>
      <c r="E942" s="34">
        <v>0</v>
      </c>
      <c r="F942" s="34">
        <v>301</v>
      </c>
      <c r="G942" s="34">
        <v>0</v>
      </c>
      <c r="H942" s="34"/>
      <c r="I942" s="34" t="s">
        <v>1561</v>
      </c>
      <c r="J942" s="34" t="s">
        <v>1561</v>
      </c>
      <c r="K942" s="107" t="s">
        <v>1561</v>
      </c>
      <c r="L942" s="34" t="s">
        <v>1561</v>
      </c>
    </row>
    <row r="943" spans="1:12" ht="16.5" x14ac:dyDescent="0.35">
      <c r="A943" s="110" t="str">
        <f>HYPERLINK("http://www.examplebusiness.comIn_the_News.aspx","http://www.examplebusiness.comIn_the_News.aspx")</f>
        <v>http://www.examplebusiness.comIn_the_News.aspx</v>
      </c>
      <c r="B943" s="34">
        <v>4</v>
      </c>
      <c r="C943" s="34">
        <v>0</v>
      </c>
      <c r="D943" s="34">
        <v>0</v>
      </c>
      <c r="E943" s="34">
        <v>0</v>
      </c>
      <c r="F943" s="34">
        <v>301</v>
      </c>
      <c r="G943" s="34">
        <v>0</v>
      </c>
      <c r="H943" s="34"/>
      <c r="I943" s="34" t="s">
        <v>1561</v>
      </c>
      <c r="J943" s="34" t="s">
        <v>1561</v>
      </c>
      <c r="K943" s="107" t="s">
        <v>1561</v>
      </c>
      <c r="L943" s="34" t="s">
        <v>1561</v>
      </c>
    </row>
    <row r="944" spans="1:12" ht="16.5" x14ac:dyDescent="0.35">
      <c r="A944" s="110" t="str">
        <f>HYPERLINK("http://examplebusiness.cominvestment-management/","http://examplebusiness.cominvestment-management/")</f>
        <v>http://examplebusiness.cominvestment-management/</v>
      </c>
      <c r="B944" s="34">
        <v>4</v>
      </c>
      <c r="C944" s="34">
        <v>0</v>
      </c>
      <c r="D944" s="34">
        <v>0</v>
      </c>
      <c r="E944" s="34">
        <v>0</v>
      </c>
      <c r="F944" s="34">
        <v>301</v>
      </c>
      <c r="G944" s="34">
        <v>0</v>
      </c>
      <c r="H944" s="34"/>
      <c r="I944" s="34" t="s">
        <v>1561</v>
      </c>
      <c r="J944" s="34" t="s">
        <v>1561</v>
      </c>
      <c r="K944" s="107" t="s">
        <v>1561</v>
      </c>
      <c r="L944" s="34" t="s">
        <v>1561</v>
      </c>
    </row>
    <row r="945" spans="1:12" ht="16.5" x14ac:dyDescent="0.35">
      <c r="A945" s="110" t="str">
        <f>HYPERLINK("http://examplebusiness.cominvestment-management","http://examplebusiness.cominvestment-management")</f>
        <v>http://examplebusiness.cominvestment-management</v>
      </c>
      <c r="B945" s="34">
        <v>4</v>
      </c>
      <c r="C945" s="34">
        <v>0</v>
      </c>
      <c r="D945" s="34">
        <v>0</v>
      </c>
      <c r="E945" s="34">
        <v>0</v>
      </c>
      <c r="F945" s="34">
        <v>301</v>
      </c>
      <c r="G945" s="34">
        <v>0</v>
      </c>
      <c r="H945" s="34"/>
      <c r="I945" s="34" t="s">
        <v>1561</v>
      </c>
      <c r="J945" s="34" t="s">
        <v>1561</v>
      </c>
      <c r="K945" s="107" t="s">
        <v>1561</v>
      </c>
      <c r="L945" s="34" t="s">
        <v>1561</v>
      </c>
    </row>
    <row r="946" spans="1:12" ht="16.5" x14ac:dyDescent="0.35">
      <c r="A946" s="110" t="str">
        <f>HYPERLINK("http://www.examplebusiness.comInvestment_Expertise.aspx","http://www.examplebusiness.comInvestment_Expertise.aspx")</f>
        <v>http://www.examplebusiness.comInvestment_Expertise.aspx</v>
      </c>
      <c r="B946" s="34">
        <v>4</v>
      </c>
      <c r="C946" s="34">
        <v>0</v>
      </c>
      <c r="D946" s="34">
        <v>0</v>
      </c>
      <c r="E946" s="34">
        <v>0</v>
      </c>
      <c r="F946" s="34">
        <v>301</v>
      </c>
      <c r="G946" s="34">
        <v>0</v>
      </c>
      <c r="H946" s="34"/>
      <c r="I946" s="34" t="s">
        <v>1561</v>
      </c>
      <c r="J946" s="34" t="s">
        <v>1561</v>
      </c>
      <c r="K946" s="107" t="s">
        <v>1561</v>
      </c>
      <c r="L946" s="34" t="s">
        <v>1561</v>
      </c>
    </row>
    <row r="947" spans="1:12" ht="16.5" x14ac:dyDescent="0.35">
      <c r="A947" s="110" t="str">
        <f>HYPERLINK("http://examplebusiness.comira-accounts/","http://examplebusiness.comira-accounts/")</f>
        <v>http://examplebusiness.comira-accounts/</v>
      </c>
      <c r="B947" s="34">
        <v>4</v>
      </c>
      <c r="C947" s="34">
        <v>0</v>
      </c>
      <c r="D947" s="34">
        <v>0</v>
      </c>
      <c r="E947" s="34">
        <v>0</v>
      </c>
      <c r="F947" s="34">
        <v>301</v>
      </c>
      <c r="G947" s="34">
        <v>0</v>
      </c>
      <c r="H947" s="34"/>
      <c r="I947" s="34" t="s">
        <v>1561</v>
      </c>
      <c r="J947" s="34" t="s">
        <v>1561</v>
      </c>
      <c r="K947" s="107" t="s">
        <v>1561</v>
      </c>
      <c r="L947" s="34" t="s">
        <v>1561</v>
      </c>
    </row>
    <row r="948" spans="1:12" ht="16.5" x14ac:dyDescent="0.35">
      <c r="A948" s="110" t="str">
        <f>HYPERLINK("http://examplebusiness.comjanuary-jump-in-market/","http://examplebusiness.comjanuary-jump-in-market/")</f>
        <v>http://examplebusiness.comjanuary-jump-in-market/</v>
      </c>
      <c r="B948" s="34">
        <v>4</v>
      </c>
      <c r="C948" s="34">
        <v>0</v>
      </c>
      <c r="D948" s="34">
        <v>0</v>
      </c>
      <c r="E948" s="34">
        <v>0</v>
      </c>
      <c r="F948" s="34">
        <v>301</v>
      </c>
      <c r="G948" s="34">
        <v>0</v>
      </c>
      <c r="H948" s="34"/>
      <c r="I948" s="34" t="s">
        <v>1561</v>
      </c>
      <c r="J948" s="34" t="s">
        <v>1561</v>
      </c>
      <c r="K948" s="107" t="s">
        <v>1561</v>
      </c>
      <c r="L948" s="34" t="s">
        <v>1561</v>
      </c>
    </row>
    <row r="949" spans="1:12" ht="16.5" x14ac:dyDescent="0.35">
      <c r="A949" s="110" t="str">
        <f>HYPERLINK("http://www.examplebusiness.comJoin_Our_Team.aspx","http://www.examplebusiness.comJoin_Our_Team.aspx")</f>
        <v>http://www.examplebusiness.comJoin_Our_Team.aspx</v>
      </c>
      <c r="B949" s="34">
        <v>4</v>
      </c>
      <c r="C949" s="34">
        <v>0</v>
      </c>
      <c r="D949" s="34">
        <v>0</v>
      </c>
      <c r="E949" s="34">
        <v>0</v>
      </c>
      <c r="F949" s="34">
        <v>301</v>
      </c>
      <c r="G949" s="34">
        <v>0</v>
      </c>
      <c r="H949" s="34"/>
      <c r="I949" s="34" t="s">
        <v>1561</v>
      </c>
      <c r="J949" s="34" t="s">
        <v>1561</v>
      </c>
      <c r="K949" s="107" t="s">
        <v>1561</v>
      </c>
      <c r="L949" s="34" t="s">
        <v>1561</v>
      </c>
    </row>
    <row r="950" spans="1:12" ht="16.5" x14ac:dyDescent="0.35">
      <c r="A950" s="110" t="str">
        <f>HYPERLINK("http://www.examplebusiness.comJoin_Us.aspx","http://www.examplebusiness.comJoin_Us.aspx")</f>
        <v>http://www.examplebusiness.comJoin_Us.aspx</v>
      </c>
      <c r="B950" s="34">
        <v>4</v>
      </c>
      <c r="C950" s="34">
        <v>0</v>
      </c>
      <c r="D950" s="34">
        <v>0</v>
      </c>
      <c r="E950" s="34">
        <v>0</v>
      </c>
      <c r="F950" s="34">
        <v>301</v>
      </c>
      <c r="G950" s="34">
        <v>0</v>
      </c>
      <c r="H950" s="34"/>
      <c r="I950" s="34" t="s">
        <v>1561</v>
      </c>
      <c r="J950" s="34" t="s">
        <v>1561</v>
      </c>
      <c r="K950" s="107" t="s">
        <v>1561</v>
      </c>
      <c r="L950" s="34" t="s">
        <v>1561</v>
      </c>
    </row>
    <row r="951" spans="1:12" ht="16.5" x14ac:dyDescent="0.35">
      <c r="A951" s="110" t="str">
        <f>HYPERLINK("http://www.examplebusiness.comliving-with-purpose/","http://www.examplebusiness.comliving-with-purpose/")</f>
        <v>http://www.examplebusiness.comliving-with-purpose/</v>
      </c>
      <c r="B951" s="34">
        <v>4</v>
      </c>
      <c r="C951" s="34">
        <v>0</v>
      </c>
      <c r="D951" s="34">
        <v>0</v>
      </c>
      <c r="E951" s="34">
        <v>0</v>
      </c>
      <c r="F951" s="34">
        <v>301</v>
      </c>
      <c r="G951" s="34">
        <v>0</v>
      </c>
      <c r="H951" s="34"/>
      <c r="I951" s="34" t="s">
        <v>1561</v>
      </c>
      <c r="J951" s="34" t="s">
        <v>1561</v>
      </c>
      <c r="K951" s="107" t="s">
        <v>1561</v>
      </c>
      <c r="L951" s="34" t="s">
        <v>1561</v>
      </c>
    </row>
    <row r="952" spans="1:12" ht="16.5" x14ac:dyDescent="0.35">
      <c r="A952" s="110" t="str">
        <f>HYPERLINK("http://www.examplebusiness.comlpl-financial-welcomes-abc-financial/","http://www.examplebusiness.comlpl-financial-welcomes-abc-financial/")</f>
        <v>http://www.examplebusiness.comlpl-financial-welcomes-abc-financial/</v>
      </c>
      <c r="B952" s="34">
        <v>4</v>
      </c>
      <c r="C952" s="34">
        <v>0</v>
      </c>
      <c r="D952" s="34">
        <v>0</v>
      </c>
      <c r="E952" s="34">
        <v>0</v>
      </c>
      <c r="F952" s="34">
        <v>301</v>
      </c>
      <c r="G952" s="34">
        <v>0</v>
      </c>
      <c r="H952" s="34"/>
      <c r="I952" s="34" t="s">
        <v>1561</v>
      </c>
      <c r="J952" s="34" t="s">
        <v>1561</v>
      </c>
      <c r="K952" s="107" t="s">
        <v>1561</v>
      </c>
      <c r="L952" s="34" t="s">
        <v>1561</v>
      </c>
    </row>
    <row r="953" spans="1:12" ht="16.5" x14ac:dyDescent="0.35">
      <c r="A953" s="110" t="str">
        <f>HYPERLINK("http://examplebusiness.commarket-drop-august-24-2015/","http://examplebusiness.commarket-drop-august-24-2015/")</f>
        <v>http://examplebusiness.commarket-drop-august-24-2015/</v>
      </c>
      <c r="B953" s="34">
        <v>4</v>
      </c>
      <c r="C953" s="34">
        <v>0</v>
      </c>
      <c r="D953" s="34">
        <v>0</v>
      </c>
      <c r="E953" s="34">
        <v>0</v>
      </c>
      <c r="F953" s="34">
        <v>301</v>
      </c>
      <c r="G953" s="34">
        <v>0</v>
      </c>
      <c r="H953" s="34"/>
      <c r="I953" s="34" t="s">
        <v>1561</v>
      </c>
      <c r="J953" s="34" t="s">
        <v>1561</v>
      </c>
      <c r="K953" s="107" t="s">
        <v>1561</v>
      </c>
      <c r="L953" s="34" t="s">
        <v>1561</v>
      </c>
    </row>
    <row r="954" spans="1:12" ht="16.5" x14ac:dyDescent="0.35">
      <c r="A954" s="110" t="str">
        <f>HYPERLINK("http://examplebusiness.commarket-economic-commentaries/","http://examplebusiness.commarket-economic-commentaries/")</f>
        <v>http://examplebusiness.commarket-economic-commentaries/</v>
      </c>
      <c r="B954" s="34">
        <v>4</v>
      </c>
      <c r="C954" s="34">
        <v>0</v>
      </c>
      <c r="D954" s="34">
        <v>0</v>
      </c>
      <c r="E954" s="34">
        <v>0</v>
      </c>
      <c r="F954" s="34">
        <v>301</v>
      </c>
      <c r="G954" s="34">
        <v>0</v>
      </c>
      <c r="H954" s="34"/>
      <c r="I954" s="34" t="s">
        <v>1561</v>
      </c>
      <c r="J954" s="34" t="s">
        <v>1561</v>
      </c>
      <c r="K954" s="107" t="s">
        <v>1561</v>
      </c>
      <c r="L954" s="34" t="s">
        <v>1561</v>
      </c>
    </row>
    <row r="955" spans="1:12" ht="16.5" x14ac:dyDescent="0.35">
      <c r="A955" s="110" t="str">
        <f>HYPERLINK("http://www.examplebusiness.commarket-update/","http://www.examplebusiness.commarket-update/")</f>
        <v>http://www.examplebusiness.commarket-update/</v>
      </c>
      <c r="B955" s="34">
        <v>4</v>
      </c>
      <c r="C955" s="34">
        <v>0</v>
      </c>
      <c r="D955" s="34">
        <v>0</v>
      </c>
      <c r="E955" s="34">
        <v>0</v>
      </c>
      <c r="F955" s="34">
        <v>301</v>
      </c>
      <c r="G955" s="34">
        <v>0</v>
      </c>
      <c r="H955" s="34"/>
      <c r="I955" s="34" t="s">
        <v>1561</v>
      </c>
      <c r="J955" s="34" t="s">
        <v>1561</v>
      </c>
      <c r="K955" s="107" t="s">
        <v>1561</v>
      </c>
      <c r="L955" s="34" t="s">
        <v>1561</v>
      </c>
    </row>
    <row r="956" spans="1:12" ht="16.5" x14ac:dyDescent="0.35">
      <c r="A956" s="110" t="str">
        <f>HYPERLINK("http://examplebusiness.commarket-update/","http://examplebusiness.commarket-update/")</f>
        <v>http://examplebusiness.commarket-update/</v>
      </c>
      <c r="B956" s="34">
        <v>4</v>
      </c>
      <c r="C956" s="34">
        <v>0</v>
      </c>
      <c r="D956" s="34">
        <v>0</v>
      </c>
      <c r="E956" s="34">
        <v>0</v>
      </c>
      <c r="F956" s="34">
        <v>301</v>
      </c>
      <c r="G956" s="34">
        <v>0</v>
      </c>
      <c r="H956" s="34"/>
      <c r="I956" s="34" t="s">
        <v>1561</v>
      </c>
      <c r="J956" s="34" t="s">
        <v>1561</v>
      </c>
      <c r="K956" s="107" t="s">
        <v>1561</v>
      </c>
      <c r="L956" s="34" t="s">
        <v>1561</v>
      </c>
    </row>
    <row r="957" spans="1:12" ht="16.5" x14ac:dyDescent="0.35">
      <c r="A957" s="110" t="str">
        <f>HYPERLINK("http://examplebusiness.comminneapolis-estate-tax-planning/","http://examplebusiness.comminneapolis-estate-tax-planning/")</f>
        <v>http://examplebusiness.comminneapolis-estate-tax-planning/</v>
      </c>
      <c r="B957" s="34">
        <v>4</v>
      </c>
      <c r="C957" s="34">
        <v>0</v>
      </c>
      <c r="D957" s="34">
        <v>0</v>
      </c>
      <c r="E957" s="34">
        <v>0</v>
      </c>
      <c r="F957" s="34">
        <v>301</v>
      </c>
      <c r="G957" s="34">
        <v>0</v>
      </c>
      <c r="H957" s="34"/>
      <c r="I957" s="34" t="s">
        <v>1561</v>
      </c>
      <c r="J957" s="34" t="s">
        <v>1561</v>
      </c>
      <c r="K957" s="107" t="s">
        <v>1561</v>
      </c>
      <c r="L957" s="34" t="s">
        <v>1561</v>
      </c>
    </row>
    <row r="958" spans="1:12" ht="16.5" x14ac:dyDescent="0.35">
      <c r="A958" s="110" t="str">
        <f>HYPERLINK("http://examplebusiness.comminneapolis-retirement-planning/","http://examplebusiness.comminneapolis-retirement-planning/")</f>
        <v>http://examplebusiness.comminneapolis-retirement-planning/</v>
      </c>
      <c r="B958" s="34">
        <v>4</v>
      </c>
      <c r="C958" s="34">
        <v>0</v>
      </c>
      <c r="D958" s="34">
        <v>0</v>
      </c>
      <c r="E958" s="34">
        <v>0</v>
      </c>
      <c r="F958" s="34">
        <v>301</v>
      </c>
      <c r="G958" s="34">
        <v>0</v>
      </c>
      <c r="H958" s="34"/>
      <c r="I958" s="34" t="s">
        <v>1561</v>
      </c>
      <c r="J958" s="34" t="s">
        <v>1561</v>
      </c>
      <c r="K958" s="107" t="s">
        <v>1561</v>
      </c>
      <c r="L958" s="34" t="s">
        <v>1561</v>
      </c>
    </row>
    <row r="959" spans="1:12" ht="16.5" x14ac:dyDescent="0.35">
      <c r="A959" s="110" t="str">
        <f>HYPERLINK("http://examplebusiness.comminneapolis-retirement-planning","http://examplebusiness.comminneapolis-retirement-planning")</f>
        <v>http://examplebusiness.comminneapolis-retirement-planning</v>
      </c>
      <c r="B959" s="34">
        <v>4</v>
      </c>
      <c r="C959" s="34">
        <v>0</v>
      </c>
      <c r="D959" s="34">
        <v>0</v>
      </c>
      <c r="E959" s="34">
        <v>0</v>
      </c>
      <c r="F959" s="34">
        <v>301</v>
      </c>
      <c r="G959" s="34">
        <v>0</v>
      </c>
      <c r="H959" s="34"/>
      <c r="I959" s="34" t="s">
        <v>1561</v>
      </c>
      <c r="J959" s="34" t="s">
        <v>1561</v>
      </c>
      <c r="K959" s="107" t="s">
        <v>1561</v>
      </c>
      <c r="L959" s="34" t="s">
        <v>1561</v>
      </c>
    </row>
    <row r="960" spans="1:12" ht="16.5" x14ac:dyDescent="0.35">
      <c r="A960" s="110" t="str">
        <f>HYPERLINK("http://www.examplebusiness.comnews-and-commentary/","http://www.examplebusiness.comnews-and-commentary/")</f>
        <v>http://www.examplebusiness.comnews-and-commentary/</v>
      </c>
      <c r="B960" s="34">
        <v>4</v>
      </c>
      <c r="C960" s="34">
        <v>0</v>
      </c>
      <c r="D960" s="34">
        <v>0</v>
      </c>
      <c r="E960" s="34">
        <v>0</v>
      </c>
      <c r="F960" s="34">
        <v>301</v>
      </c>
      <c r="G960" s="34">
        <v>0</v>
      </c>
      <c r="H960" s="34"/>
      <c r="I960" s="34" t="s">
        <v>1561</v>
      </c>
      <c r="J960" s="34" t="s">
        <v>1561</v>
      </c>
      <c r="K960" s="107" t="s">
        <v>1561</v>
      </c>
      <c r="L960" s="34" t="s">
        <v>1561</v>
      </c>
    </row>
    <row r="961" spans="1:12" ht="16.5" x14ac:dyDescent="0.35">
      <c r="A961" s="110" t="str">
        <f>HYPERLINK("http://examplebusiness.comnews-and-commentary/","http://examplebusiness.comnews-and-commentary/")</f>
        <v>http://examplebusiness.comnews-and-commentary/</v>
      </c>
      <c r="B961" s="34">
        <v>4</v>
      </c>
      <c r="C961" s="34">
        <v>0</v>
      </c>
      <c r="D961" s="34">
        <v>0</v>
      </c>
      <c r="E961" s="34">
        <v>0</v>
      </c>
      <c r="F961" s="34">
        <v>301</v>
      </c>
      <c r="G961" s="34">
        <v>0</v>
      </c>
      <c r="H961" s="34"/>
      <c r="I961" s="34" t="s">
        <v>1561</v>
      </c>
      <c r="J961" s="34" t="s">
        <v>1561</v>
      </c>
      <c r="K961" s="107" t="s">
        <v>1561</v>
      </c>
      <c r="L961" s="34" t="s">
        <v>1561</v>
      </c>
    </row>
    <row r="962" spans="1:12" ht="16.5" x14ac:dyDescent="0.35">
      <c r="A962" s="110" t="str">
        <f>HYPERLINK("http://www.examplebusiness.comnews-and-commentary-2/","http://www.examplebusiness.comnews-and-commentary-2/")</f>
        <v>http://www.examplebusiness.comnews-and-commentary-2/</v>
      </c>
      <c r="B962" s="34">
        <v>4</v>
      </c>
      <c r="C962" s="34">
        <v>0</v>
      </c>
      <c r="D962" s="34">
        <v>0</v>
      </c>
      <c r="E962" s="34">
        <v>0</v>
      </c>
      <c r="F962" s="34">
        <v>301</v>
      </c>
      <c r="G962" s="34">
        <v>0</v>
      </c>
      <c r="H962" s="34"/>
      <c r="I962" s="34" t="s">
        <v>1561</v>
      </c>
      <c r="J962" s="34" t="s">
        <v>1561</v>
      </c>
      <c r="K962" s="107" t="s">
        <v>1561</v>
      </c>
      <c r="L962" s="34" t="s">
        <v>1561</v>
      </c>
    </row>
    <row r="963" spans="1:12" ht="16.5" x14ac:dyDescent="0.35">
      <c r="A963" s="110" t="str">
        <f>HYPERLINK("http://www.examplebusiness.comnews-and-commentary-blog/","http://www.examplebusiness.comnews-and-commentary-blog/")</f>
        <v>http://www.examplebusiness.comnews-and-commentary-blog/</v>
      </c>
      <c r="B963" s="34">
        <v>4</v>
      </c>
      <c r="C963" s="34">
        <v>0</v>
      </c>
      <c r="D963" s="34">
        <v>0</v>
      </c>
      <c r="E963" s="34">
        <v>0</v>
      </c>
      <c r="F963" s="34">
        <v>301</v>
      </c>
      <c r="G963" s="34">
        <v>0</v>
      </c>
      <c r="H963" s="34"/>
      <c r="I963" s="34" t="s">
        <v>1561</v>
      </c>
      <c r="J963" s="34" t="s">
        <v>1561</v>
      </c>
      <c r="K963" s="107" t="s">
        <v>1561</v>
      </c>
      <c r="L963" s="34" t="s">
        <v>1561</v>
      </c>
    </row>
    <row r="964" spans="1:12" ht="16.5" x14ac:dyDescent="0.35">
      <c r="A964" s="110" t="str">
        <f>HYPERLINK("http://www.examplebusiness.comnews-and-commentary-timeline/","http://www.examplebusiness.comnews-and-commentary-timeline/")</f>
        <v>http://www.examplebusiness.comnews-and-commentary-timeline/</v>
      </c>
      <c r="B964" s="34">
        <v>4</v>
      </c>
      <c r="C964" s="34">
        <v>0</v>
      </c>
      <c r="D964" s="34">
        <v>0</v>
      </c>
      <c r="E964" s="34">
        <v>0</v>
      </c>
      <c r="F964" s="34">
        <v>301</v>
      </c>
      <c r="G964" s="34">
        <v>0</v>
      </c>
      <c r="H964" s="34"/>
      <c r="I964" s="34" t="s">
        <v>1561</v>
      </c>
      <c r="J964" s="34" t="s">
        <v>1561</v>
      </c>
      <c r="K964" s="107" t="s">
        <v>1561</v>
      </c>
      <c r="L964" s="34" t="s">
        <v>1561</v>
      </c>
    </row>
    <row r="965" spans="1:12" ht="16.5" x14ac:dyDescent="0.35">
      <c r="A965" s="110" t="str">
        <f>HYPERLINK("http://examplebusiness.comnews-and-commentary-timeline/","http://examplebusiness.comnews-and-commentary-timeline/")</f>
        <v>http://examplebusiness.comnews-and-commentary-timeline/</v>
      </c>
      <c r="B965" s="34">
        <v>4</v>
      </c>
      <c r="C965" s="34">
        <v>0</v>
      </c>
      <c r="D965" s="34">
        <v>0</v>
      </c>
      <c r="E965" s="34">
        <v>0</v>
      </c>
      <c r="F965" s="34">
        <v>301</v>
      </c>
      <c r="G965" s="34">
        <v>0</v>
      </c>
      <c r="H965" s="34"/>
      <c r="I965" s="34" t="s">
        <v>1561</v>
      </c>
      <c r="J965" s="34" t="s">
        <v>1561</v>
      </c>
      <c r="K965" s="107" t="s">
        <v>1561</v>
      </c>
      <c r="L965" s="34" t="s">
        <v>1561</v>
      </c>
    </row>
    <row r="966" spans="1:12" ht="16.5" x14ac:dyDescent="0.35">
      <c r="A966" s="110" t="str">
        <f>HYPERLINK("http://examplebusiness.comnews-and-commentary/page/2/","http://examplebusiness.comnews-and-commentary/page/2/")</f>
        <v>http://examplebusiness.comnews-and-commentary/page/2/</v>
      </c>
      <c r="B966" s="34">
        <v>4</v>
      </c>
      <c r="C966" s="34">
        <v>0</v>
      </c>
      <c r="D966" s="34">
        <v>0</v>
      </c>
      <c r="E966" s="34">
        <v>0</v>
      </c>
      <c r="F966" s="34">
        <v>301</v>
      </c>
      <c r="G966" s="34">
        <v>0</v>
      </c>
      <c r="H966" s="34"/>
      <c r="I966" s="34" t="s">
        <v>1561</v>
      </c>
      <c r="J966" s="34" t="s">
        <v>1561</v>
      </c>
      <c r="K966" s="107" t="s">
        <v>1561</v>
      </c>
      <c r="L966" s="34" t="s">
        <v>1561</v>
      </c>
    </row>
    <row r="967" spans="1:12" ht="16.5" x14ac:dyDescent="0.35">
      <c r="A967" s="110" t="str">
        <f>HYPERLINK("http://examplebusiness.comnews-and-commentary/page/3/","http://examplebusiness.comnews-and-commentary/page/3/")</f>
        <v>http://examplebusiness.comnews-and-commentary/page/3/</v>
      </c>
      <c r="B967" s="34">
        <v>4</v>
      </c>
      <c r="C967" s="34">
        <v>0</v>
      </c>
      <c r="D967" s="34">
        <v>0</v>
      </c>
      <c r="E967" s="34">
        <v>0</v>
      </c>
      <c r="F967" s="34">
        <v>301</v>
      </c>
      <c r="G967" s="34">
        <v>0</v>
      </c>
      <c r="H967" s="34"/>
      <c r="I967" s="34" t="s">
        <v>1561</v>
      </c>
      <c r="J967" s="34" t="s">
        <v>1561</v>
      </c>
      <c r="K967" s="107" t="s">
        <v>1561</v>
      </c>
      <c r="L967" s="34" t="s">
        <v>1561</v>
      </c>
    </row>
    <row r="968" spans="1:12" ht="16.5" x14ac:dyDescent="0.35">
      <c r="A968" s="110" t="str">
        <f>HYPERLINK("http://examplebusiness.comnews-and-commentary/page/7/","http://examplebusiness.comnews-and-commentary/page/7/")</f>
        <v>http://examplebusiness.comnews-and-commentary/page/7/</v>
      </c>
      <c r="B968" s="34">
        <v>4</v>
      </c>
      <c r="C968" s="34">
        <v>0</v>
      </c>
      <c r="D968" s="34">
        <v>0</v>
      </c>
      <c r="E968" s="34">
        <v>0</v>
      </c>
      <c r="F968" s="34">
        <v>301</v>
      </c>
      <c r="G968" s="34">
        <v>0</v>
      </c>
      <c r="H968" s="34"/>
      <c r="I968" s="34" t="s">
        <v>1561</v>
      </c>
      <c r="J968" s="34" t="s">
        <v>1561</v>
      </c>
      <c r="K968" s="107" t="s">
        <v>1561</v>
      </c>
      <c r="L968" s="34" t="s">
        <v>1561</v>
      </c>
    </row>
    <row r="969" spans="1:12" ht="16.5" x14ac:dyDescent="0.35">
      <c r="A969" s="110" t="str">
        <f>HYPERLINK("http://examplebusiness.comoil-prices-why-the-drop/","http://examplebusiness.comoil-prices-why-the-drop/")</f>
        <v>http://examplebusiness.comoil-prices-why-the-drop/</v>
      </c>
      <c r="B969" s="34">
        <v>4</v>
      </c>
      <c r="C969" s="34">
        <v>0</v>
      </c>
      <c r="D969" s="34">
        <v>0</v>
      </c>
      <c r="E969" s="34">
        <v>0</v>
      </c>
      <c r="F969" s="34">
        <v>301</v>
      </c>
      <c r="G969" s="34">
        <v>0</v>
      </c>
      <c r="H969" s="34"/>
      <c r="I969" s="34" t="s">
        <v>1561</v>
      </c>
      <c r="J969" s="34" t="s">
        <v>1561</v>
      </c>
      <c r="K969" s="107" t="s">
        <v>1561</v>
      </c>
      <c r="L969" s="34" t="s">
        <v>1561</v>
      </c>
    </row>
    <row r="970" spans="1:12" ht="16.5" x14ac:dyDescent="0.35">
      <c r="A970" s="110" t="str">
        <f>HYPERLINK("http://examplebusiness.comon-monday-august-24-the-markets-dropped-1000-points-in-only-10-minutes-heres-what-happened/","http://examplebusiness.comon-monday-august-24-the-markets-dropped-1000-points-in-only-10-minutes-heres-what-happened/")</f>
        <v>http://examplebusiness.comon-monday-august-24-the-markets-dropped-1000-points-in-only-10-minutes-heres-what-happened/</v>
      </c>
      <c r="B970" s="34">
        <v>4</v>
      </c>
      <c r="C970" s="34">
        <v>0</v>
      </c>
      <c r="D970" s="34">
        <v>0</v>
      </c>
      <c r="E970" s="34">
        <v>0</v>
      </c>
      <c r="F970" s="34">
        <v>301</v>
      </c>
      <c r="G970" s="34">
        <v>0</v>
      </c>
      <c r="H970" s="34"/>
      <c r="I970" s="34" t="s">
        <v>1561</v>
      </c>
      <c r="J970" s="34" t="s">
        <v>1561</v>
      </c>
      <c r="K970" s="107" t="s">
        <v>1561</v>
      </c>
      <c r="L970" s="34" t="s">
        <v>1561</v>
      </c>
    </row>
    <row r="971" spans="1:12" ht="16.5" x14ac:dyDescent="0.35">
      <c r="A971" s="110" t="str">
        <f>HYPERLINK("http://www.examplebusiness.comour-services/","http://www.examplebusiness.comour-services/")</f>
        <v>http://www.examplebusiness.comour-services/</v>
      </c>
      <c r="B971" s="34">
        <v>4</v>
      </c>
      <c r="C971" s="34">
        <v>0</v>
      </c>
      <c r="D971" s="34">
        <v>0</v>
      </c>
      <c r="E971" s="34">
        <v>0</v>
      </c>
      <c r="F971" s="34">
        <v>301</v>
      </c>
      <c r="G971" s="34">
        <v>0</v>
      </c>
      <c r="H971" s="34"/>
      <c r="I971" s="34" t="s">
        <v>1561</v>
      </c>
      <c r="J971" s="34" t="s">
        <v>1561</v>
      </c>
      <c r="K971" s="107" t="s">
        <v>1561</v>
      </c>
      <c r="L971" s="34" t="s">
        <v>1561</v>
      </c>
    </row>
    <row r="972" spans="1:12" ht="16.5" x14ac:dyDescent="0.35">
      <c r="A972" s="110" t="str">
        <f>HYPERLINK("http://www.examplebusiness.comour-services","http://www.examplebusiness.comour-services")</f>
        <v>http://www.examplebusiness.comour-services</v>
      </c>
      <c r="B972" s="34">
        <v>4</v>
      </c>
      <c r="C972" s="34">
        <v>0</v>
      </c>
      <c r="D972" s="34">
        <v>0</v>
      </c>
      <c r="E972" s="34">
        <v>0</v>
      </c>
      <c r="F972" s="34">
        <v>301</v>
      </c>
      <c r="G972" s="34">
        <v>0</v>
      </c>
      <c r="H972" s="34"/>
      <c r="I972" s="34" t="s">
        <v>1561</v>
      </c>
      <c r="J972" s="34" t="s">
        <v>1561</v>
      </c>
      <c r="K972" s="107" t="s">
        <v>1561</v>
      </c>
      <c r="L972" s="34" t="s">
        <v>1561</v>
      </c>
    </row>
    <row r="973" spans="1:12" ht="16.5" x14ac:dyDescent="0.35">
      <c r="A973" s="110" t="str">
        <f>HYPERLINK("http://examplebusiness.comour-services/","http://examplebusiness.comour-services/")</f>
        <v>http://examplebusiness.comour-services/</v>
      </c>
      <c r="B973" s="34">
        <v>4</v>
      </c>
      <c r="C973" s="34">
        <v>0</v>
      </c>
      <c r="D973" s="34">
        <v>0</v>
      </c>
      <c r="E973" s="34">
        <v>0</v>
      </c>
      <c r="F973" s="34">
        <v>301</v>
      </c>
      <c r="G973" s="34">
        <v>0</v>
      </c>
      <c r="H973" s="34"/>
      <c r="I973" s="34" t="s">
        <v>1561</v>
      </c>
      <c r="J973" s="34" t="s">
        <v>1561</v>
      </c>
      <c r="K973" s="107" t="s">
        <v>1561</v>
      </c>
      <c r="L973" s="34" t="s">
        <v>1561</v>
      </c>
    </row>
    <row r="974" spans="1:12" ht="16.5" x14ac:dyDescent="0.35">
      <c r="A974" s="110" t="str">
        <f>HYPERLINK("http://examplebusiness.comour-services","http://examplebusiness.comour-services")</f>
        <v>http://examplebusiness.comour-services</v>
      </c>
      <c r="B974" s="34">
        <v>4</v>
      </c>
      <c r="C974" s="34">
        <v>0</v>
      </c>
      <c r="D974" s="34">
        <v>0</v>
      </c>
      <c r="E974" s="34">
        <v>0</v>
      </c>
      <c r="F974" s="34">
        <v>301</v>
      </c>
      <c r="G974" s="34">
        <v>0</v>
      </c>
      <c r="H974" s="34"/>
      <c r="I974" s="34" t="s">
        <v>1561</v>
      </c>
      <c r="J974" s="34" t="s">
        <v>1561</v>
      </c>
      <c r="K974" s="107" t="s">
        <v>1561</v>
      </c>
      <c r="L974" s="34" t="s">
        <v>1561</v>
      </c>
    </row>
    <row r="975" spans="1:12" ht="16.5" x14ac:dyDescent="0.35">
      <c r="A975" s="110" t="str">
        <f>HYPERLINK("http://www.examplebusiness.comour-services/piwik.php","http://www.examplebusiness.comour-services/piwik.php")</f>
        <v>http://www.examplebusiness.comour-services/piwik.php</v>
      </c>
      <c r="B975" s="34">
        <v>4</v>
      </c>
      <c r="C975" s="34">
        <v>0</v>
      </c>
      <c r="D975" s="34">
        <v>0</v>
      </c>
      <c r="E975" s="34">
        <v>0</v>
      </c>
      <c r="F975" s="34">
        <v>301</v>
      </c>
      <c r="G975" s="34">
        <v>0</v>
      </c>
      <c r="H975" s="34"/>
      <c r="I975" s="34" t="s">
        <v>1561</v>
      </c>
      <c r="J975" s="34" t="s">
        <v>1561</v>
      </c>
      <c r="K975" s="107" t="s">
        <v>1561</v>
      </c>
      <c r="L975" s="34" t="s">
        <v>1561</v>
      </c>
    </row>
    <row r="976" spans="1:12" ht="16.5" x14ac:dyDescent="0.35">
      <c r="A976" s="110" t="str">
        <f>HYPERLINK("http://www.examplebusiness.comour-team/","http://www.examplebusiness.comour-team/")</f>
        <v>http://www.examplebusiness.comour-team/</v>
      </c>
      <c r="B976" s="34">
        <v>4</v>
      </c>
      <c r="C976" s="34">
        <v>0</v>
      </c>
      <c r="D976" s="34">
        <v>0</v>
      </c>
      <c r="E976" s="34">
        <v>0</v>
      </c>
      <c r="F976" s="34">
        <v>301</v>
      </c>
      <c r="G976" s="34">
        <v>0</v>
      </c>
      <c r="H976" s="34"/>
      <c r="I976" s="34" t="s">
        <v>1561</v>
      </c>
      <c r="J976" s="34" t="s">
        <v>1561</v>
      </c>
      <c r="K976" s="107" t="s">
        <v>1561</v>
      </c>
      <c r="L976" s="34" t="s">
        <v>1561</v>
      </c>
    </row>
    <row r="977" spans="1:12" ht="16.5" x14ac:dyDescent="0.35">
      <c r="A977" s="110" t="str">
        <f>HYPERLINK("http://www.examplebusiness.comour-team","http://www.examplebusiness.comour-team")</f>
        <v>http://www.examplebusiness.comour-team</v>
      </c>
      <c r="B977" s="34">
        <v>4</v>
      </c>
      <c r="C977" s="34">
        <v>0</v>
      </c>
      <c r="D977" s="34">
        <v>0</v>
      </c>
      <c r="E977" s="34">
        <v>0</v>
      </c>
      <c r="F977" s="34">
        <v>301</v>
      </c>
      <c r="G977" s="34">
        <v>0</v>
      </c>
      <c r="H977" s="34"/>
      <c r="I977" s="34" t="s">
        <v>1561</v>
      </c>
      <c r="J977" s="34" t="s">
        <v>1561</v>
      </c>
      <c r="K977" s="107" t="s">
        <v>1561</v>
      </c>
      <c r="L977" s="34" t="s">
        <v>1561</v>
      </c>
    </row>
    <row r="978" spans="1:12" ht="16.5" x14ac:dyDescent="0.35">
      <c r="A978" s="110" t="str">
        <f>HYPERLINK("http://examplebusiness.comour-team/","http://examplebusiness.comour-team/")</f>
        <v>http://examplebusiness.comour-team/</v>
      </c>
      <c r="B978" s="34">
        <v>4</v>
      </c>
      <c r="C978" s="34">
        <v>0</v>
      </c>
      <c r="D978" s="34">
        <v>0</v>
      </c>
      <c r="E978" s="34">
        <v>0</v>
      </c>
      <c r="F978" s="34">
        <v>301</v>
      </c>
      <c r="G978" s="34">
        <v>0</v>
      </c>
      <c r="H978" s="34"/>
      <c r="I978" s="34" t="s">
        <v>1561</v>
      </c>
      <c r="J978" s="34" t="s">
        <v>1561</v>
      </c>
      <c r="K978" s="107" t="s">
        <v>1561</v>
      </c>
      <c r="L978" s="34" t="s">
        <v>1561</v>
      </c>
    </row>
    <row r="979" spans="1:12" ht="16.5" x14ac:dyDescent="0.35">
      <c r="A979" s="110" t="str">
        <f>HYPERLINK("http://examplebusiness.comour-team","http://examplebusiness.comour-team")</f>
        <v>http://examplebusiness.comour-team</v>
      </c>
      <c r="B979" s="34">
        <v>4</v>
      </c>
      <c r="C979" s="34">
        <v>0</v>
      </c>
      <c r="D979" s="34">
        <v>0</v>
      </c>
      <c r="E979" s="34">
        <v>0</v>
      </c>
      <c r="F979" s="34">
        <v>301</v>
      </c>
      <c r="G979" s="34">
        <v>0</v>
      </c>
      <c r="H979" s="34"/>
      <c r="I979" s="34" t="s">
        <v>1561</v>
      </c>
      <c r="J979" s="34" t="s">
        <v>1561</v>
      </c>
      <c r="K979" s="107" t="s">
        <v>1561</v>
      </c>
      <c r="L979" s="34" t="s">
        <v>1561</v>
      </c>
    </row>
    <row r="980" spans="1:12" ht="16.5" x14ac:dyDescent="0.35">
      <c r="A980" s="110" t="str">
        <f>HYPERLINK("http://www.examplebusiness.comour-team/piwik.php","http://www.examplebusiness.comour-team/piwik.php")</f>
        <v>http://www.examplebusiness.comour-team/piwik.php</v>
      </c>
      <c r="B980" s="34">
        <v>4</v>
      </c>
      <c r="C980" s="34">
        <v>0</v>
      </c>
      <c r="D980" s="34">
        <v>0</v>
      </c>
      <c r="E980" s="34">
        <v>0</v>
      </c>
      <c r="F980" s="34">
        <v>301</v>
      </c>
      <c r="G980" s="34">
        <v>0</v>
      </c>
      <c r="H980" s="34"/>
      <c r="I980" s="34" t="s">
        <v>1561</v>
      </c>
      <c r="J980" s="34" t="s">
        <v>1561</v>
      </c>
      <c r="K980" s="107" t="s">
        <v>1561</v>
      </c>
      <c r="L980" s="34" t="s">
        <v>1561</v>
      </c>
    </row>
    <row r="981" spans="1:12" ht="16.5" x14ac:dyDescent="0.35">
      <c r="A981" s="110" t="str">
        <f>HYPERLINK("http://www.examplebusiness.comOur_Broker_Dealer.aspx","http://www.examplebusiness.comOur_Broker_Dealer.aspx")</f>
        <v>http://www.examplebusiness.comOur_Broker_Dealer.aspx</v>
      </c>
      <c r="B981" s="34">
        <v>4</v>
      </c>
      <c r="C981" s="34">
        <v>0</v>
      </c>
      <c r="D981" s="34">
        <v>0</v>
      </c>
      <c r="E981" s="34">
        <v>0</v>
      </c>
      <c r="F981" s="34">
        <v>301</v>
      </c>
      <c r="G981" s="34">
        <v>0</v>
      </c>
      <c r="H981" s="34"/>
      <c r="I981" s="34" t="s">
        <v>1561</v>
      </c>
      <c r="J981" s="34" t="s">
        <v>1561</v>
      </c>
      <c r="K981" s="107" t="s">
        <v>1561</v>
      </c>
      <c r="L981" s="34" t="s">
        <v>1561</v>
      </c>
    </row>
    <row r="982" spans="1:12" ht="16.5" x14ac:dyDescent="0.35">
      <c r="A982" s="110" t="str">
        <f>HYPERLINK("http://www.examplebusiness.comourservices.aspx","http://www.examplebusiness.comourservices.aspx")</f>
        <v>http://www.examplebusiness.comourservices.aspx</v>
      </c>
      <c r="B982" s="34">
        <v>4</v>
      </c>
      <c r="C982" s="34">
        <v>0</v>
      </c>
      <c r="D982" s="34">
        <v>0</v>
      </c>
      <c r="E982" s="34">
        <v>0</v>
      </c>
      <c r="F982" s="34">
        <v>301</v>
      </c>
      <c r="G982" s="34">
        <v>0</v>
      </c>
      <c r="H982" s="34"/>
      <c r="I982" s="34" t="s">
        <v>1561</v>
      </c>
      <c r="J982" s="34" t="s">
        <v>1561</v>
      </c>
      <c r="K982" s="107" t="s">
        <v>1561</v>
      </c>
      <c r="L982" s="34" t="s">
        <v>1561</v>
      </c>
    </row>
    <row r="983" spans="1:12" ht="16.5" x14ac:dyDescent="0.35">
      <c r="A983" s="110" t="str">
        <f>HYPERLINK("http://examplebusiness.comourservices.aspx","http://examplebusiness.comourservices.aspx")</f>
        <v>http://examplebusiness.comourservices.aspx</v>
      </c>
      <c r="B983" s="34">
        <v>4</v>
      </c>
      <c r="C983" s="34">
        <v>0</v>
      </c>
      <c r="D983" s="34">
        <v>0</v>
      </c>
      <c r="E983" s="34">
        <v>0</v>
      </c>
      <c r="F983" s="34">
        <v>301</v>
      </c>
      <c r="G983" s="34">
        <v>0</v>
      </c>
      <c r="H983" s="34"/>
      <c r="I983" s="34" t="s">
        <v>1561</v>
      </c>
      <c r="J983" s="34" t="s">
        <v>1561</v>
      </c>
      <c r="K983" s="107" t="s">
        <v>1561</v>
      </c>
      <c r="L983" s="34" t="s">
        <v>1561</v>
      </c>
    </row>
    <row r="984" spans="1:12" ht="16.5" x14ac:dyDescent="0.35">
      <c r="A984" s="110" t="str">
        <f>HYPERLINK("http://www.examplebusiness.comourteam.aspx","http://www.examplebusiness.comourteam.aspx")</f>
        <v>http://www.examplebusiness.comourteam.aspx</v>
      </c>
      <c r="B984" s="34">
        <v>4</v>
      </c>
      <c r="C984" s="34">
        <v>0</v>
      </c>
      <c r="D984" s="34">
        <v>0</v>
      </c>
      <c r="E984" s="34">
        <v>0</v>
      </c>
      <c r="F984" s="34">
        <v>301</v>
      </c>
      <c r="G984" s="34">
        <v>0</v>
      </c>
      <c r="H984" s="34"/>
      <c r="I984" s="34" t="s">
        <v>1561</v>
      </c>
      <c r="J984" s="34" t="s">
        <v>1561</v>
      </c>
      <c r="K984" s="107" t="s">
        <v>1561</v>
      </c>
      <c r="L984" s="34" t="s">
        <v>1561</v>
      </c>
    </row>
    <row r="985" spans="1:12" ht="16.5" x14ac:dyDescent="0.35">
      <c r="A985" s="110" t="str">
        <f>HYPERLINK("http://examplebusiness.comourteam.aspx","http://examplebusiness.comourteam.aspx")</f>
        <v>http://examplebusiness.comourteam.aspx</v>
      </c>
      <c r="B985" s="34">
        <v>4</v>
      </c>
      <c r="C985" s="34">
        <v>0</v>
      </c>
      <c r="D985" s="34">
        <v>0</v>
      </c>
      <c r="E985" s="34">
        <v>0</v>
      </c>
      <c r="F985" s="34">
        <v>301</v>
      </c>
      <c r="G985" s="34">
        <v>0</v>
      </c>
      <c r="H985" s="34"/>
      <c r="I985" s="34" t="s">
        <v>1561</v>
      </c>
      <c r="J985" s="34" t="s">
        <v>1561</v>
      </c>
      <c r="K985" s="107" t="s">
        <v>1561</v>
      </c>
      <c r="L985" s="34" t="s">
        <v>1561</v>
      </c>
    </row>
    <row r="986" spans="1:12" ht="16.5" x14ac:dyDescent="0.35">
      <c r="A986" s="110" t="str">
        <f>HYPERLINK("http://www.examplebusiness.comOverview.aspx","http://www.examplebusiness.comOverview.aspx")</f>
        <v>http://www.examplebusiness.comOverview.aspx</v>
      </c>
      <c r="B986" s="34">
        <v>4</v>
      </c>
      <c r="C986" s="34">
        <v>0</v>
      </c>
      <c r="D986" s="34">
        <v>0</v>
      </c>
      <c r="E986" s="34">
        <v>0</v>
      </c>
      <c r="F986" s="34">
        <v>301</v>
      </c>
      <c r="G986" s="34">
        <v>0</v>
      </c>
      <c r="H986" s="34"/>
      <c r="I986" s="34" t="s">
        <v>1561</v>
      </c>
      <c r="J986" s="34" t="s">
        <v>1561</v>
      </c>
      <c r="K986" s="107" t="s">
        <v>1561</v>
      </c>
      <c r="L986" s="34" t="s">
        <v>1561</v>
      </c>
    </row>
    <row r="987" spans="1:12" ht="16.5" x14ac:dyDescent="0.35">
      <c r="A987" s="110" t="str">
        <f>HYPERLINK("http://examplebusiness.comOverview.aspx","http://examplebusiness.comOverview.aspx")</f>
        <v>http://examplebusiness.comOverview.aspx</v>
      </c>
      <c r="B987" s="34">
        <v>4</v>
      </c>
      <c r="C987" s="34">
        <v>0</v>
      </c>
      <c r="D987" s="34">
        <v>0</v>
      </c>
      <c r="E987" s="34">
        <v>0</v>
      </c>
      <c r="F987" s="34">
        <v>301</v>
      </c>
      <c r="G987" s="34">
        <v>0</v>
      </c>
      <c r="H987" s="34"/>
      <c r="I987" s="34" t="s">
        <v>1561</v>
      </c>
      <c r="J987" s="34" t="s">
        <v>1561</v>
      </c>
      <c r="K987" s="107" t="s">
        <v>1561</v>
      </c>
      <c r="L987" s="34" t="s">
        <v>1561</v>
      </c>
    </row>
    <row r="988" spans="1:12" ht="16.5" x14ac:dyDescent="0.35">
      <c r="A988" s="110" t="str">
        <f>HYPERLINK("https://www.examplebusiness.com/p/giving-back","https://www.examplebusiness.com/p/giving-back")</f>
        <v>https://www.examplebusiness.com/p/giving-back</v>
      </c>
      <c r="B988" s="34">
        <v>4</v>
      </c>
      <c r="C988" s="34">
        <v>0</v>
      </c>
      <c r="D988" s="34">
        <v>0</v>
      </c>
      <c r="E988" s="34">
        <v>0</v>
      </c>
      <c r="F988" s="34">
        <v>302</v>
      </c>
      <c r="G988" s="34">
        <v>0</v>
      </c>
      <c r="H988" s="34"/>
      <c r="I988" s="34" t="s">
        <v>1561</v>
      </c>
      <c r="J988" s="34" t="s">
        <v>1561</v>
      </c>
      <c r="K988" s="107" t="s">
        <v>1561</v>
      </c>
      <c r="L988" s="34" t="s">
        <v>1561</v>
      </c>
    </row>
    <row r="989" spans="1:12" ht="16.5" x14ac:dyDescent="0.35">
      <c r="A989" s="110" t="str">
        <f>HYPERLINK("http://www.examplebusiness.comParticipant_Services.aspx","http://www.examplebusiness.comParticipant_Services.aspx")</f>
        <v>http://www.examplebusiness.comParticipant_Services.aspx</v>
      </c>
      <c r="B989" s="34">
        <v>4</v>
      </c>
      <c r="C989" s="34">
        <v>0</v>
      </c>
      <c r="D989" s="34">
        <v>0</v>
      </c>
      <c r="E989" s="34">
        <v>0</v>
      </c>
      <c r="F989" s="34">
        <v>301</v>
      </c>
      <c r="G989" s="34">
        <v>0</v>
      </c>
      <c r="H989" s="34"/>
      <c r="I989" s="34" t="s">
        <v>1561</v>
      </c>
      <c r="J989" s="34" t="s">
        <v>1561</v>
      </c>
      <c r="K989" s="107" t="s">
        <v>1561</v>
      </c>
      <c r="L989" s="34" t="s">
        <v>1561</v>
      </c>
    </row>
    <row r="990" spans="1:12" ht="16.5" x14ac:dyDescent="0.35">
      <c r="A990" s="110" t="str">
        <f>HYPERLINK("http://examplebusiness.compay-forward/","http://examplebusiness.compay-forward/")</f>
        <v>http://examplebusiness.compay-forward/</v>
      </c>
      <c r="B990" s="34">
        <v>4</v>
      </c>
      <c r="C990" s="34">
        <v>0</v>
      </c>
      <c r="D990" s="34">
        <v>0</v>
      </c>
      <c r="E990" s="34">
        <v>0</v>
      </c>
      <c r="F990" s="34">
        <v>301</v>
      </c>
      <c r="G990" s="34">
        <v>0</v>
      </c>
      <c r="H990" s="34"/>
      <c r="I990" s="34" t="s">
        <v>1561</v>
      </c>
      <c r="J990" s="34" t="s">
        <v>1561</v>
      </c>
      <c r="K990" s="107" t="s">
        <v>1561</v>
      </c>
      <c r="L990" s="34" t="s">
        <v>1561</v>
      </c>
    </row>
    <row r="991" spans="1:12" ht="16.5" x14ac:dyDescent="0.35">
      <c r="A991" s="110" t="str">
        <f>HYPERLINK("http://www.examplebusiness.compiwik.php","http://www.examplebusiness.compiwik.php")</f>
        <v>http://www.examplebusiness.compiwik.php</v>
      </c>
      <c r="B991" s="34">
        <v>4</v>
      </c>
      <c r="C991" s="34">
        <v>0</v>
      </c>
      <c r="D991" s="34">
        <v>0</v>
      </c>
      <c r="E991" s="34">
        <v>0</v>
      </c>
      <c r="F991" s="34">
        <v>301</v>
      </c>
      <c r="G991" s="34">
        <v>0</v>
      </c>
      <c r="H991" s="34"/>
      <c r="I991" s="34" t="s">
        <v>1561</v>
      </c>
      <c r="J991" s="34" t="s">
        <v>1561</v>
      </c>
      <c r="K991" s="107" t="s">
        <v>1561</v>
      </c>
      <c r="L991" s="34" t="s">
        <v>1561</v>
      </c>
    </row>
    <row r="992" spans="1:12" ht="16.5" x14ac:dyDescent="0.35">
      <c r="A992" s="110" t="str">
        <f>HYPERLINK("http://examplebusiness.compiwik.php","http://examplebusiness.compiwik.php")</f>
        <v>http://examplebusiness.compiwik.php</v>
      </c>
      <c r="B992" s="34">
        <v>4</v>
      </c>
      <c r="C992" s="34">
        <v>0</v>
      </c>
      <c r="D992" s="34">
        <v>0</v>
      </c>
      <c r="E992" s="34">
        <v>0</v>
      </c>
      <c r="F992" s="34">
        <v>301</v>
      </c>
      <c r="G992" s="34">
        <v>0</v>
      </c>
      <c r="H992" s="34"/>
      <c r="I992" s="34" t="s">
        <v>1561</v>
      </c>
      <c r="J992" s="34" t="s">
        <v>1561</v>
      </c>
      <c r="K992" s="107" t="s">
        <v>1561</v>
      </c>
      <c r="L992" s="34" t="s">
        <v>1561</v>
      </c>
    </row>
    <row r="993" spans="1:12" ht="16.5" x14ac:dyDescent="0.35">
      <c r="A993" s="110" t="str">
        <f>HYPERLINK("http://www.examplebusiness.comPlan_Design.aspx","http://www.examplebusiness.comPlan_Design.aspx")</f>
        <v>http://www.examplebusiness.comPlan_Design.aspx</v>
      </c>
      <c r="B993" s="34">
        <v>4</v>
      </c>
      <c r="C993" s="34">
        <v>0</v>
      </c>
      <c r="D993" s="34">
        <v>0</v>
      </c>
      <c r="E993" s="34">
        <v>0</v>
      </c>
      <c r="F993" s="34">
        <v>301</v>
      </c>
      <c r="G993" s="34">
        <v>0</v>
      </c>
      <c r="H993" s="34"/>
      <c r="I993" s="34" t="s">
        <v>1561</v>
      </c>
      <c r="J993" s="34" t="s">
        <v>1561</v>
      </c>
      <c r="K993" s="107" t="s">
        <v>1561</v>
      </c>
      <c r="L993" s="34" t="s">
        <v>1561</v>
      </c>
    </row>
    <row r="994" spans="1:12" ht="16.5" x14ac:dyDescent="0.35">
      <c r="A994" s="110" t="str">
        <f>HYPERLINK("http://www.examplebusiness.comportfolio/retirement-calculator/","http://www.examplebusiness.comportfolio/retirement-calculator/")</f>
        <v>http://www.examplebusiness.comportfolio/retirement-calculator/</v>
      </c>
      <c r="B994" s="34">
        <v>4</v>
      </c>
      <c r="C994" s="34">
        <v>0</v>
      </c>
      <c r="D994" s="34">
        <v>0</v>
      </c>
      <c r="E994" s="34">
        <v>0</v>
      </c>
      <c r="F994" s="34">
        <v>301</v>
      </c>
      <c r="G994" s="34">
        <v>0</v>
      </c>
      <c r="H994" s="34"/>
      <c r="I994" s="34" t="s">
        <v>1561</v>
      </c>
      <c r="J994" s="34" t="s">
        <v>1561</v>
      </c>
      <c r="K994" s="107" t="s">
        <v>1561</v>
      </c>
      <c r="L994" s="34" t="s">
        <v>1561</v>
      </c>
    </row>
    <row r="995" spans="1:12" ht="16.5" x14ac:dyDescent="0.35">
      <c r="A995" s="110" t="str">
        <f>HYPERLINK("http://www.examplebusiness.comProfessional_Recognition.aspx","http://www.examplebusiness.comProfessional_Recognition.aspx")</f>
        <v>http://www.examplebusiness.comProfessional_Recognition.aspx</v>
      </c>
      <c r="B995" s="34">
        <v>4</v>
      </c>
      <c r="C995" s="34">
        <v>0</v>
      </c>
      <c r="D995" s="34">
        <v>0</v>
      </c>
      <c r="E995" s="34">
        <v>0</v>
      </c>
      <c r="F995" s="34">
        <v>301</v>
      </c>
      <c r="G995" s="34">
        <v>0</v>
      </c>
      <c r="H995" s="34"/>
      <c r="I995" s="34" t="s">
        <v>1561</v>
      </c>
      <c r="J995" s="34" t="s">
        <v>1561</v>
      </c>
      <c r="K995" s="107" t="s">
        <v>1561</v>
      </c>
      <c r="L995" s="34" t="s">
        <v>1561</v>
      </c>
    </row>
    <row r="996" spans="1:12" ht="16.5" x14ac:dyDescent="0.35">
      <c r="A996" s="110" t="str">
        <f>HYPERLINK("http://examplebusiness.comProfessional_Recognition.aspx","http://examplebusiness.comProfessional_Recognition.aspx")</f>
        <v>http://examplebusiness.comProfessional_Recognition.aspx</v>
      </c>
      <c r="B996" s="34">
        <v>4</v>
      </c>
      <c r="C996" s="34">
        <v>0</v>
      </c>
      <c r="D996" s="34">
        <v>0</v>
      </c>
      <c r="E996" s="34">
        <v>0</v>
      </c>
      <c r="F996" s="34">
        <v>301</v>
      </c>
      <c r="G996" s="34">
        <v>0</v>
      </c>
      <c r="H996" s="34"/>
      <c r="I996" s="34" t="s">
        <v>1561</v>
      </c>
      <c r="J996" s="34" t="s">
        <v>1561</v>
      </c>
      <c r="K996" s="107" t="s">
        <v>1561</v>
      </c>
      <c r="L996" s="34" t="s">
        <v>1561</v>
      </c>
    </row>
    <row r="997" spans="1:12" ht="16.5" x14ac:dyDescent="0.35">
      <c r="A997" s="110" t="str">
        <f>HYPERLINK("http://examplebusiness.comprotecting-your-assets/","http://examplebusiness.comprotecting-your-assets/")</f>
        <v>http://examplebusiness.comprotecting-your-assets/</v>
      </c>
      <c r="B997" s="34">
        <v>4</v>
      </c>
      <c r="C997" s="34">
        <v>0</v>
      </c>
      <c r="D997" s="34">
        <v>0</v>
      </c>
      <c r="E997" s="34">
        <v>0</v>
      </c>
      <c r="F997" s="34">
        <v>301</v>
      </c>
      <c r="G997" s="34">
        <v>0</v>
      </c>
      <c r="H997" s="34"/>
      <c r="I997" s="34" t="s">
        <v>1561</v>
      </c>
      <c r="J997" s="34" t="s">
        <v>1561</v>
      </c>
      <c r="K997" s="107" t="s">
        <v>1561</v>
      </c>
      <c r="L997" s="34" t="s">
        <v>1561</v>
      </c>
    </row>
    <row r="998" spans="1:12" ht="16.5" x14ac:dyDescent="0.35">
      <c r="A998" s="110" t="str">
        <f>HYPERLINK("http://www.examplebusiness.comquotes/","http://www.examplebusiness.comquotes/")</f>
        <v>http://www.examplebusiness.comquotes/</v>
      </c>
      <c r="B998" s="34">
        <v>4</v>
      </c>
      <c r="C998" s="34">
        <v>0</v>
      </c>
      <c r="D998" s="34">
        <v>0</v>
      </c>
      <c r="E998" s="34">
        <v>0</v>
      </c>
      <c r="F998" s="34">
        <v>301</v>
      </c>
      <c r="G998" s="34">
        <v>0</v>
      </c>
      <c r="H998" s="34"/>
      <c r="I998" s="34" t="s">
        <v>1561</v>
      </c>
      <c r="J998" s="34" t="s">
        <v>1561</v>
      </c>
      <c r="K998" s="107" t="s">
        <v>1561</v>
      </c>
      <c r="L998" s="34" t="s">
        <v>1561</v>
      </c>
    </row>
    <row r="999" spans="1:12" ht="16.5" x14ac:dyDescent="0.35">
      <c r="A999" s="110" t="str">
        <f>HYPERLINK("https://www.examplebusiness.com/resource-center/tax/six-most-overlooked-tax-deductions","https://www.examplebusiness.com/resource-center/tax/six-most-overlooked-tax-deductions")</f>
        <v>https://www.examplebusiness.com/resource-center/tax/six-most-overlooked-tax-deductions</v>
      </c>
      <c r="B999" s="34">
        <v>4</v>
      </c>
      <c r="C999" s="34">
        <v>0</v>
      </c>
      <c r="D999" s="34">
        <v>0</v>
      </c>
      <c r="E999" s="34">
        <v>0</v>
      </c>
      <c r="F999" s="34">
        <v>302</v>
      </c>
      <c r="G999" s="34">
        <v>0</v>
      </c>
      <c r="H999" s="34"/>
      <c r="I999" s="34" t="s">
        <v>1561</v>
      </c>
      <c r="J999" s="34" t="s">
        <v>1561</v>
      </c>
      <c r="K999" s="107" t="s">
        <v>1561</v>
      </c>
      <c r="L999" s="34" t="s">
        <v>1561</v>
      </c>
    </row>
    <row r="1000" spans="1:12" ht="16.5" x14ac:dyDescent="0.35">
      <c r="A1000" s="110" t="str">
        <f>HYPERLINK("http://examplebusiness.comretirement-planning-mistakes/","http://examplebusiness.comretirement-planning-mistakes/")</f>
        <v>http://examplebusiness.comretirement-planning-mistakes/</v>
      </c>
      <c r="B1000" s="34">
        <v>4</v>
      </c>
      <c r="C1000" s="34">
        <v>0</v>
      </c>
      <c r="D1000" s="34">
        <v>0</v>
      </c>
      <c r="E1000" s="34">
        <v>0</v>
      </c>
      <c r="F1000" s="34">
        <v>301</v>
      </c>
      <c r="G1000" s="34">
        <v>0</v>
      </c>
      <c r="H1000" s="34"/>
      <c r="I1000" s="34" t="s">
        <v>1561</v>
      </c>
      <c r="J1000" s="34" t="s">
        <v>1561</v>
      </c>
      <c r="K1000" s="107" t="s">
        <v>1561</v>
      </c>
      <c r="L1000" s="34" t="s">
        <v>1561</v>
      </c>
    </row>
    <row r="1001" spans="1:12" ht="16.5" x14ac:dyDescent="0.35">
      <c r="A1001" s="110" t="str">
        <f>HYPERLINK("http://www.examplebusiness.comRetirement_Planning.aspx","http://www.examplebusiness.comRetirement_Planning.aspx")</f>
        <v>http://www.examplebusiness.comRetirement_Planning.aspx</v>
      </c>
      <c r="B1001" s="34">
        <v>4</v>
      </c>
      <c r="C1001" s="34">
        <v>0</v>
      </c>
      <c r="D1001" s="34">
        <v>0</v>
      </c>
      <c r="E1001" s="34">
        <v>0</v>
      </c>
      <c r="F1001" s="34">
        <v>301</v>
      </c>
      <c r="G1001" s="34">
        <v>0</v>
      </c>
      <c r="H1001" s="34"/>
      <c r="I1001" s="34" t="s">
        <v>1561</v>
      </c>
      <c r="J1001" s="34" t="s">
        <v>1561</v>
      </c>
      <c r="K1001" s="107" t="s">
        <v>1561</v>
      </c>
      <c r="L1001" s="34" t="s">
        <v>1561</v>
      </c>
    </row>
    <row r="1002" spans="1:12" ht="16.5" x14ac:dyDescent="0.35">
      <c r="A1002" s="110" t="str">
        <f>HYPERLINK("http://www.examplebusiness.comRisk_Management.aspx","http://www.examplebusiness.comRisk_Management.aspx")</f>
        <v>http://www.examplebusiness.comRisk_Management.aspx</v>
      </c>
      <c r="B1002" s="34">
        <v>4</v>
      </c>
      <c r="C1002" s="34">
        <v>0</v>
      </c>
      <c r="D1002" s="34">
        <v>0</v>
      </c>
      <c r="E1002" s="34">
        <v>0</v>
      </c>
      <c r="F1002" s="34">
        <v>301</v>
      </c>
      <c r="G1002" s="34">
        <v>0</v>
      </c>
      <c r="H1002" s="34"/>
      <c r="I1002" s="34" t="s">
        <v>1561</v>
      </c>
      <c r="J1002" s="34" t="s">
        <v>1561</v>
      </c>
      <c r="K1002" s="107" t="s">
        <v>1561</v>
      </c>
      <c r="L1002" s="34" t="s">
        <v>1561</v>
      </c>
    </row>
    <row r="1003" spans="1:12" ht="16.5" x14ac:dyDescent="0.35">
      <c r="A1003" s="110" t="str">
        <f>HYPERLINK("http://examplebusiness.comsmart-401k-management/","http://examplebusiness.comsmart-401k-management/")</f>
        <v>http://examplebusiness.comsmart-401k-management/</v>
      </c>
      <c r="B1003" s="34">
        <v>4</v>
      </c>
      <c r="C1003" s="34">
        <v>0</v>
      </c>
      <c r="D1003" s="34">
        <v>0</v>
      </c>
      <c r="E1003" s="34">
        <v>0</v>
      </c>
      <c r="F1003" s="34">
        <v>301</v>
      </c>
      <c r="G1003" s="34">
        <v>0</v>
      </c>
      <c r="H1003" s="34"/>
      <c r="I1003" s="34" t="s">
        <v>1561</v>
      </c>
      <c r="J1003" s="34" t="s">
        <v>1561</v>
      </c>
      <c r="K1003" s="107" t="s">
        <v>1561</v>
      </c>
      <c r="L1003" s="34" t="s">
        <v>1561</v>
      </c>
    </row>
    <row r="1004" spans="1:12" ht="16.5" x14ac:dyDescent="0.35">
      <c r="A1004" s="110" t="str">
        <f>HYPERLINK("http://examplebusiness.comsocial-security-file-and-suspend/","http://examplebusiness.comsocial-security-file-and-suspend/")</f>
        <v>http://examplebusiness.comsocial-security-file-and-suspend/</v>
      </c>
      <c r="B1004" s="34">
        <v>4</v>
      </c>
      <c r="C1004" s="34">
        <v>0</v>
      </c>
      <c r="D1004" s="34">
        <v>0</v>
      </c>
      <c r="E1004" s="34">
        <v>0</v>
      </c>
      <c r="F1004" s="34">
        <v>301</v>
      </c>
      <c r="G1004" s="34">
        <v>0</v>
      </c>
      <c r="H1004" s="34"/>
      <c r="I1004" s="34" t="s">
        <v>1561</v>
      </c>
      <c r="J1004" s="34" t="s">
        <v>1561</v>
      </c>
      <c r="K1004" s="107" t="s">
        <v>1561</v>
      </c>
      <c r="L1004" s="34" t="s">
        <v>1561</v>
      </c>
    </row>
    <row r="1005" spans="1:12" ht="16.5" x14ac:dyDescent="0.35">
      <c r="A1005" s="110" t="str">
        <f>HYPERLINK("http://examplebusiness.comsocial-security-file-and-suspend-is-coming-to-an-end/","http://examplebusiness.comsocial-security-file-and-suspend-is-coming-to-an-end/")</f>
        <v>http://examplebusiness.comsocial-security-file-and-suspend-is-coming-to-an-end/</v>
      </c>
      <c r="B1005" s="34">
        <v>4</v>
      </c>
      <c r="C1005" s="34">
        <v>0</v>
      </c>
      <c r="D1005" s="34">
        <v>0</v>
      </c>
      <c r="E1005" s="34">
        <v>0</v>
      </c>
      <c r="F1005" s="34">
        <v>301</v>
      </c>
      <c r="G1005" s="34">
        <v>0</v>
      </c>
      <c r="H1005" s="34"/>
      <c r="I1005" s="34" t="s">
        <v>1561</v>
      </c>
      <c r="J1005" s="34" t="s">
        <v>1561</v>
      </c>
      <c r="K1005" s="107" t="s">
        <v>1561</v>
      </c>
      <c r="L1005" s="34" t="s">
        <v>1561</v>
      </c>
    </row>
    <row r="1006" spans="1:12" ht="16.5" x14ac:dyDescent="0.35">
      <c r="A1006" s="110" t="str">
        <f>HYPERLINK("http://examplebusiness.comtag/abc/","http://examplebusiness.comtag/abc/")</f>
        <v>http://examplebusiness.comtag/abc/</v>
      </c>
      <c r="B1006" s="34">
        <v>4</v>
      </c>
      <c r="C1006" s="34">
        <v>0</v>
      </c>
      <c r="D1006" s="34">
        <v>0</v>
      </c>
      <c r="E1006" s="34">
        <v>0</v>
      </c>
      <c r="F1006" s="34">
        <v>301</v>
      </c>
      <c r="G1006" s="34">
        <v>0</v>
      </c>
      <c r="H1006" s="34"/>
      <c r="I1006" s="34" t="s">
        <v>1561</v>
      </c>
      <c r="J1006" s="34" t="s">
        <v>1561</v>
      </c>
      <c r="K1006" s="107" t="s">
        <v>1561</v>
      </c>
      <c r="L1006" s="34" t="s">
        <v>1561</v>
      </c>
    </row>
    <row r="1007" spans="1:12" ht="16.5" x14ac:dyDescent="0.35">
      <c r="A1007" s="110" t="str">
        <f>HYPERLINK("http://examplebusiness.comtag/401k/","http://examplebusiness.comtag/401k/")</f>
        <v>http://examplebusiness.comtag/401k/</v>
      </c>
      <c r="B1007" s="34">
        <v>4</v>
      </c>
      <c r="C1007" s="34">
        <v>0</v>
      </c>
      <c r="D1007" s="34">
        <v>0</v>
      </c>
      <c r="E1007" s="34">
        <v>0</v>
      </c>
      <c r="F1007" s="34">
        <v>301</v>
      </c>
      <c r="G1007" s="34">
        <v>0</v>
      </c>
      <c r="H1007" s="34"/>
      <c r="I1007" s="34" t="s">
        <v>1561</v>
      </c>
      <c r="J1007" s="34" t="s">
        <v>1561</v>
      </c>
      <c r="K1007" s="107" t="s">
        <v>1561</v>
      </c>
      <c r="L1007" s="34" t="s">
        <v>1561</v>
      </c>
    </row>
    <row r="1008" spans="1:12" ht="16.5" x14ac:dyDescent="0.35">
      <c r="A1008" s="110" t="str">
        <f>HYPERLINK("http://examplebusiness.comtag/529-plans/","http://examplebusiness.comtag/529-plans/")</f>
        <v>http://examplebusiness.comtag/529-plans/</v>
      </c>
      <c r="B1008" s="34">
        <v>4</v>
      </c>
      <c r="C1008" s="34">
        <v>0</v>
      </c>
      <c r="D1008" s="34">
        <v>0</v>
      </c>
      <c r="E1008" s="34">
        <v>0</v>
      </c>
      <c r="F1008" s="34">
        <v>301</v>
      </c>
      <c r="G1008" s="34">
        <v>0</v>
      </c>
      <c r="H1008" s="34"/>
      <c r="I1008" s="34" t="s">
        <v>1561</v>
      </c>
      <c r="J1008" s="34" t="s">
        <v>1561</v>
      </c>
      <c r="K1008" s="107" t="s">
        <v>1561</v>
      </c>
      <c r="L1008" s="34" t="s">
        <v>1561</v>
      </c>
    </row>
    <row r="1009" spans="1:12" ht="16.5" x14ac:dyDescent="0.35">
      <c r="A1009" s="110" t="str">
        <f>HYPERLINK("http://examplebusiness.comtag/advisor/","http://examplebusiness.comtag/advisor/")</f>
        <v>http://examplebusiness.comtag/advisor/</v>
      </c>
      <c r="B1009" s="34">
        <v>4</v>
      </c>
      <c r="C1009" s="34">
        <v>0</v>
      </c>
      <c r="D1009" s="34">
        <v>0</v>
      </c>
      <c r="E1009" s="34">
        <v>0</v>
      </c>
      <c r="F1009" s="34">
        <v>301</v>
      </c>
      <c r="G1009" s="34">
        <v>0</v>
      </c>
      <c r="H1009" s="34"/>
      <c r="I1009" s="34" t="s">
        <v>1561</v>
      </c>
      <c r="J1009" s="34" t="s">
        <v>1561</v>
      </c>
      <c r="K1009" s="107" t="s">
        <v>1561</v>
      </c>
      <c r="L1009" s="34" t="s">
        <v>1561</v>
      </c>
    </row>
    <row r="1010" spans="1:12" ht="16.5" x14ac:dyDescent="0.35">
      <c r="A1010" s="110" t="str">
        <f>HYPERLINK("http://examplebusiness.comtag/asset-protection/","http://examplebusiness.comtag/asset-protection/")</f>
        <v>http://examplebusiness.comtag/asset-protection/</v>
      </c>
      <c r="B1010" s="34">
        <v>4</v>
      </c>
      <c r="C1010" s="34">
        <v>0</v>
      </c>
      <c r="D1010" s="34">
        <v>0</v>
      </c>
      <c r="E1010" s="34">
        <v>0</v>
      </c>
      <c r="F1010" s="34">
        <v>301</v>
      </c>
      <c r="G1010" s="34">
        <v>0</v>
      </c>
      <c r="H1010" s="34"/>
      <c r="I1010" s="34" t="s">
        <v>1561</v>
      </c>
      <c r="J1010" s="34" t="s">
        <v>1561</v>
      </c>
      <c r="K1010" s="107" t="s">
        <v>1561</v>
      </c>
      <c r="L1010" s="34" t="s">
        <v>1561</v>
      </c>
    </row>
    <row r="1011" spans="1:12" ht="16.5" x14ac:dyDescent="0.35">
      <c r="A1011" s="110" t="str">
        <f>HYPERLINK("http://examplebusiness.comtag/budgeting/","http://examplebusiness.comtag/budgeting/")</f>
        <v>http://examplebusiness.comtag/budgeting/</v>
      </c>
      <c r="B1011" s="34">
        <v>4</v>
      </c>
      <c r="C1011" s="34">
        <v>0</v>
      </c>
      <c r="D1011" s="34">
        <v>0</v>
      </c>
      <c r="E1011" s="34">
        <v>0</v>
      </c>
      <c r="F1011" s="34">
        <v>301</v>
      </c>
      <c r="G1011" s="34">
        <v>0</v>
      </c>
      <c r="H1011" s="34"/>
      <c r="I1011" s="34" t="s">
        <v>1561</v>
      </c>
      <c r="J1011" s="34" t="s">
        <v>1561</v>
      </c>
      <c r="K1011" s="107" t="s">
        <v>1561</v>
      </c>
      <c r="L1011" s="34" t="s">
        <v>1561</v>
      </c>
    </row>
    <row r="1012" spans="1:12" ht="16.5" x14ac:dyDescent="0.35">
      <c r="A1012" s="110" t="str">
        <f>HYPERLINK("http://examplebusiness.comtag/charitable-giving/","http://examplebusiness.comtag/charitable-giving/")</f>
        <v>http://examplebusiness.comtag/charitable-giving/</v>
      </c>
      <c r="B1012" s="34">
        <v>4</v>
      </c>
      <c r="C1012" s="34">
        <v>0</v>
      </c>
      <c r="D1012" s="34">
        <v>0</v>
      </c>
      <c r="E1012" s="34">
        <v>0</v>
      </c>
      <c r="F1012" s="34">
        <v>301</v>
      </c>
      <c r="G1012" s="34">
        <v>0</v>
      </c>
      <c r="H1012" s="34"/>
      <c r="I1012" s="34" t="s">
        <v>1561</v>
      </c>
      <c r="J1012" s="34" t="s">
        <v>1561</v>
      </c>
      <c r="K1012" s="107" t="s">
        <v>1561</v>
      </c>
      <c r="L1012" s="34" t="s">
        <v>1561</v>
      </c>
    </row>
    <row r="1013" spans="1:12" ht="16.5" x14ac:dyDescent="0.35">
      <c r="A1013" s="110" t="str">
        <f>HYPERLINK("http://examplebusiness.comtag/college-planning/","http://examplebusiness.comtag/college-planning/")</f>
        <v>http://examplebusiness.comtag/college-planning/</v>
      </c>
      <c r="B1013" s="34">
        <v>4</v>
      </c>
      <c r="C1013" s="34">
        <v>0</v>
      </c>
      <c r="D1013" s="34">
        <v>0</v>
      </c>
      <c r="E1013" s="34">
        <v>0</v>
      </c>
      <c r="F1013" s="34">
        <v>301</v>
      </c>
      <c r="G1013" s="34">
        <v>0</v>
      </c>
      <c r="H1013" s="34"/>
      <c r="I1013" s="34" t="s">
        <v>1561</v>
      </c>
      <c r="J1013" s="34" t="s">
        <v>1561</v>
      </c>
      <c r="K1013" s="107" t="s">
        <v>1561</v>
      </c>
      <c r="L1013" s="34" t="s">
        <v>1561</v>
      </c>
    </row>
    <row r="1014" spans="1:12" ht="16.5" x14ac:dyDescent="0.35">
      <c r="A1014" s="110" t="str">
        <f>HYPERLINK("http://examplebusiness.comtag/disability-insurance/","http://examplebusiness.comtag/disability-insurance/")</f>
        <v>http://examplebusiness.comtag/disability-insurance/</v>
      </c>
      <c r="B1014" s="34">
        <v>4</v>
      </c>
      <c r="C1014" s="34">
        <v>0</v>
      </c>
      <c r="D1014" s="34">
        <v>0</v>
      </c>
      <c r="E1014" s="34">
        <v>0</v>
      </c>
      <c r="F1014" s="34">
        <v>301</v>
      </c>
      <c r="G1014" s="34">
        <v>0</v>
      </c>
      <c r="H1014" s="34"/>
      <c r="I1014" s="34" t="s">
        <v>1561</v>
      </c>
      <c r="J1014" s="34" t="s">
        <v>1561</v>
      </c>
      <c r="K1014" s="107" t="s">
        <v>1561</v>
      </c>
      <c r="L1014" s="34" t="s">
        <v>1561</v>
      </c>
    </row>
    <row r="1015" spans="1:12" ht="16.5" x14ac:dyDescent="0.35">
      <c r="A1015" s="110" t="str">
        <f>HYPERLINK("http://examplebusiness.comtag/distribution/","http://examplebusiness.comtag/distribution/")</f>
        <v>http://examplebusiness.comtag/distribution/</v>
      </c>
      <c r="B1015" s="34">
        <v>4</v>
      </c>
      <c r="C1015" s="34">
        <v>0</v>
      </c>
      <c r="D1015" s="34">
        <v>0</v>
      </c>
      <c r="E1015" s="34">
        <v>0</v>
      </c>
      <c r="F1015" s="34">
        <v>301</v>
      </c>
      <c r="G1015" s="34">
        <v>0</v>
      </c>
      <c r="H1015" s="34"/>
      <c r="I1015" s="34" t="s">
        <v>1561</v>
      </c>
      <c r="J1015" s="34" t="s">
        <v>1561</v>
      </c>
      <c r="K1015" s="107" t="s">
        <v>1561</v>
      </c>
      <c r="L1015" s="34" t="s">
        <v>1561</v>
      </c>
    </row>
    <row r="1016" spans="1:12" ht="16.5" x14ac:dyDescent="0.35">
      <c r="A1016" s="110" t="str">
        <f>HYPERLINK("http://examplebusiness.comtag/diversification/","http://examplebusiness.comtag/diversification/")</f>
        <v>http://examplebusiness.comtag/diversification/</v>
      </c>
      <c r="B1016" s="34">
        <v>4</v>
      </c>
      <c r="C1016" s="34">
        <v>0</v>
      </c>
      <c r="D1016" s="34">
        <v>0</v>
      </c>
      <c r="E1016" s="34">
        <v>0</v>
      </c>
      <c r="F1016" s="34">
        <v>301</v>
      </c>
      <c r="G1016" s="34">
        <v>0</v>
      </c>
      <c r="H1016" s="34"/>
      <c r="I1016" s="34" t="s">
        <v>1561</v>
      </c>
      <c r="J1016" s="34" t="s">
        <v>1561</v>
      </c>
      <c r="K1016" s="107" t="s">
        <v>1561</v>
      </c>
      <c r="L1016" s="34" t="s">
        <v>1561</v>
      </c>
    </row>
    <row r="1017" spans="1:12" ht="16.5" x14ac:dyDescent="0.35">
      <c r="A1017" s="110" t="str">
        <f>HYPERLINK("http://examplebusiness.comtag/dow/","http://examplebusiness.comtag/dow/")</f>
        <v>http://examplebusiness.comtag/dow/</v>
      </c>
      <c r="B1017" s="34">
        <v>4</v>
      </c>
      <c r="C1017" s="34">
        <v>0</v>
      </c>
      <c r="D1017" s="34">
        <v>0</v>
      </c>
      <c r="E1017" s="34">
        <v>0</v>
      </c>
      <c r="F1017" s="34">
        <v>301</v>
      </c>
      <c r="G1017" s="34">
        <v>0</v>
      </c>
      <c r="H1017" s="34"/>
      <c r="I1017" s="34" t="s">
        <v>1561</v>
      </c>
      <c r="J1017" s="34" t="s">
        <v>1561</v>
      </c>
      <c r="K1017" s="107" t="s">
        <v>1561</v>
      </c>
      <c r="L1017" s="34" t="s">
        <v>1561</v>
      </c>
    </row>
    <row r="1018" spans="1:12" ht="16.5" x14ac:dyDescent="0.35">
      <c r="A1018" s="109" t="str">
        <f>HYPERLINK("http://examplebusiness.comtag/estate-tax-planning/","http://examplebusiness.comtag/estate-tax-planning/")</f>
        <v>http://examplebusiness.comtag/estate-tax-planning/</v>
      </c>
      <c r="B1018" s="34">
        <v>4</v>
      </c>
      <c r="C1018" s="34">
        <v>0</v>
      </c>
      <c r="D1018" s="34">
        <v>0</v>
      </c>
      <c r="E1018" s="34">
        <v>0</v>
      </c>
      <c r="F1018" s="34">
        <v>301</v>
      </c>
      <c r="G1018" s="34">
        <v>0</v>
      </c>
      <c r="H1018" s="34"/>
      <c r="I1018" s="34" t="s">
        <v>1561</v>
      </c>
      <c r="J1018" s="34" t="s">
        <v>1561</v>
      </c>
      <c r="K1018" s="107" t="s">
        <v>1561</v>
      </c>
      <c r="L1018" s="34" t="s">
        <v>1561</v>
      </c>
    </row>
    <row r="1019" spans="1:12" ht="16.5" x14ac:dyDescent="0.35">
      <c r="A1019" s="109" t="str">
        <f>HYPERLINK("http://examplebusiness.comtag/event/","http://examplebusiness.comtag/event/")</f>
        <v>http://examplebusiness.comtag/event/</v>
      </c>
      <c r="B1019" s="34">
        <v>4</v>
      </c>
      <c r="C1019" s="34">
        <v>0</v>
      </c>
      <c r="D1019" s="34">
        <v>0</v>
      </c>
      <c r="E1019" s="34">
        <v>0</v>
      </c>
      <c r="F1019" s="34">
        <v>301</v>
      </c>
      <c r="G1019" s="34">
        <v>0</v>
      </c>
      <c r="H1019" s="34"/>
      <c r="I1019" s="34" t="s">
        <v>1561</v>
      </c>
      <c r="J1019" s="34" t="s">
        <v>1561</v>
      </c>
      <c r="K1019" s="107" t="s">
        <v>1561</v>
      </c>
      <c r="L1019" s="34" t="s">
        <v>1561</v>
      </c>
    </row>
    <row r="1020" spans="1:12" ht="16.5" x14ac:dyDescent="0.35">
      <c r="A1020" s="109" t="str">
        <f>HYPERLINK("http://examplebusiness.comtag/finance/","http://examplebusiness.comtag/finance/")</f>
        <v>http://examplebusiness.comtag/finance/</v>
      </c>
      <c r="B1020" s="34">
        <v>4</v>
      </c>
      <c r="C1020" s="34">
        <v>0</v>
      </c>
      <c r="D1020" s="34">
        <v>0</v>
      </c>
      <c r="E1020" s="34">
        <v>0</v>
      </c>
      <c r="F1020" s="34">
        <v>301</v>
      </c>
      <c r="G1020" s="34">
        <v>0</v>
      </c>
      <c r="H1020" s="34"/>
      <c r="I1020" s="34" t="s">
        <v>1561</v>
      </c>
      <c r="J1020" s="34" t="s">
        <v>1561</v>
      </c>
      <c r="K1020" s="107" t="s">
        <v>1561</v>
      </c>
      <c r="L1020" s="34" t="s">
        <v>1561</v>
      </c>
    </row>
    <row r="1021" spans="1:12" ht="16.5" x14ac:dyDescent="0.35">
      <c r="A1021" s="109" t="str">
        <f>HYPERLINK("http://examplebusiness.comtag/financial/","http://examplebusiness.comtag/financial/")</f>
        <v>http://examplebusiness.comtag/financial/</v>
      </c>
      <c r="B1021" s="34">
        <v>4</v>
      </c>
      <c r="C1021" s="34">
        <v>0</v>
      </c>
      <c r="D1021" s="34">
        <v>0</v>
      </c>
      <c r="E1021" s="34">
        <v>0</v>
      </c>
      <c r="F1021" s="34">
        <v>301</v>
      </c>
      <c r="G1021" s="34">
        <v>0</v>
      </c>
      <c r="H1021" s="34"/>
      <c r="I1021" s="34" t="s">
        <v>1561</v>
      </c>
      <c r="J1021" s="34" t="s">
        <v>1561</v>
      </c>
      <c r="K1021" s="107" t="s">
        <v>1561</v>
      </c>
      <c r="L1021" s="34" t="s">
        <v>1561</v>
      </c>
    </row>
    <row r="1022" spans="1:12" ht="16.5" x14ac:dyDescent="0.35">
      <c r="A1022" s="109" t="str">
        <f>HYPERLINK("http://examplebusiness.comtag/financial-advisors/","http://examplebusiness.comtag/financial-advisors/")</f>
        <v>http://examplebusiness.comtag/financial-advisors/</v>
      </c>
      <c r="B1022" s="34">
        <v>4</v>
      </c>
      <c r="C1022" s="34">
        <v>0</v>
      </c>
      <c r="D1022" s="34">
        <v>0</v>
      </c>
      <c r="E1022" s="34">
        <v>0</v>
      </c>
      <c r="F1022" s="34">
        <v>301</v>
      </c>
      <c r="G1022" s="34">
        <v>0</v>
      </c>
      <c r="H1022" s="34"/>
      <c r="I1022" s="34" t="s">
        <v>1561</v>
      </c>
      <c r="J1022" s="34" t="s">
        <v>1561</v>
      </c>
      <c r="K1022" s="107" t="s">
        <v>1561</v>
      </c>
      <c r="L1022" s="34" t="s">
        <v>1561</v>
      </c>
    </row>
    <row r="1023" spans="1:12" ht="16.5" x14ac:dyDescent="0.35">
      <c r="A1023" s="109" t="str">
        <f>HYPERLINK("http://examplebusiness.comtag/financial-security/","http://examplebusiness.comtag/financial-security/")</f>
        <v>http://examplebusiness.comtag/financial-security/</v>
      </c>
      <c r="B1023" s="34">
        <v>4</v>
      </c>
      <c r="C1023" s="34">
        <v>0</v>
      </c>
      <c r="D1023" s="34">
        <v>0</v>
      </c>
      <c r="E1023" s="34">
        <v>0</v>
      </c>
      <c r="F1023" s="34">
        <v>301</v>
      </c>
      <c r="G1023" s="34">
        <v>0</v>
      </c>
      <c r="H1023" s="34"/>
      <c r="I1023" s="34" t="s">
        <v>1561</v>
      </c>
      <c r="J1023" s="34" t="s">
        <v>1561</v>
      </c>
      <c r="K1023" s="107" t="s">
        <v>1561</v>
      </c>
      <c r="L1023" s="34" t="s">
        <v>1561</v>
      </c>
    </row>
    <row r="1024" spans="1:12" ht="16.5" x14ac:dyDescent="0.35">
      <c r="A1024" s="109" t="str">
        <f>HYPERLINK("http://examplebusiness.comtag/fox9/","http://examplebusiness.comtag/fox9/")</f>
        <v>http://examplebusiness.comtag/fox9/</v>
      </c>
      <c r="B1024" s="34">
        <v>4</v>
      </c>
      <c r="C1024" s="34">
        <v>0</v>
      </c>
      <c r="D1024" s="34">
        <v>0</v>
      </c>
      <c r="E1024" s="34">
        <v>0</v>
      </c>
      <c r="F1024" s="34">
        <v>301</v>
      </c>
      <c r="G1024" s="34">
        <v>0</v>
      </c>
      <c r="H1024" s="34"/>
      <c r="I1024" s="34" t="s">
        <v>1561</v>
      </c>
      <c r="J1024" s="34" t="s">
        <v>1561</v>
      </c>
      <c r="K1024" s="107" t="s">
        <v>1561</v>
      </c>
      <c r="L1024" s="34" t="s">
        <v>1561</v>
      </c>
    </row>
    <row r="1025" spans="1:12" ht="16.5" x14ac:dyDescent="0.35">
      <c r="A1025" s="109" t="str">
        <f>HYPERLINK("http://examplebusiness.comtag/inflation/","http://examplebusiness.comtag/inflation/")</f>
        <v>http://examplebusiness.comtag/inflation/</v>
      </c>
      <c r="B1025" s="34">
        <v>4</v>
      </c>
      <c r="C1025" s="34">
        <v>0</v>
      </c>
      <c r="D1025" s="34">
        <v>0</v>
      </c>
      <c r="E1025" s="34">
        <v>0</v>
      </c>
      <c r="F1025" s="34">
        <v>301</v>
      </c>
      <c r="G1025" s="34">
        <v>0</v>
      </c>
      <c r="H1025" s="34"/>
      <c r="I1025" s="34" t="s">
        <v>1561</v>
      </c>
      <c r="J1025" s="34" t="s">
        <v>1561</v>
      </c>
      <c r="K1025" s="107" t="s">
        <v>1561</v>
      </c>
      <c r="L1025" s="34" t="s">
        <v>1561</v>
      </c>
    </row>
    <row r="1026" spans="1:12" ht="16.5" x14ac:dyDescent="0.35">
      <c r="A1026" s="109" t="str">
        <f>HYPERLINK("http://examplebusiness.comtag/investment-management/","http://examplebusiness.comtag/investment-management/")</f>
        <v>http://examplebusiness.comtag/investment-management/</v>
      </c>
      <c r="B1026" s="34">
        <v>4</v>
      </c>
      <c r="C1026" s="34">
        <v>0</v>
      </c>
      <c r="D1026" s="34">
        <v>0</v>
      </c>
      <c r="E1026" s="34">
        <v>0</v>
      </c>
      <c r="F1026" s="34">
        <v>301</v>
      </c>
      <c r="G1026" s="34">
        <v>0</v>
      </c>
      <c r="H1026" s="34"/>
      <c r="I1026" s="34" t="s">
        <v>1561</v>
      </c>
      <c r="J1026" s="34" t="s">
        <v>1561</v>
      </c>
      <c r="K1026" s="107" t="s">
        <v>1561</v>
      </c>
      <c r="L1026" s="34" t="s">
        <v>1561</v>
      </c>
    </row>
    <row r="1027" spans="1:12" ht="16.5" x14ac:dyDescent="0.35">
      <c r="A1027" s="109" t="str">
        <f>HYPERLINK("http://examplebusiness.comtag/ira/","http://examplebusiness.comtag/ira/")</f>
        <v>http://examplebusiness.comtag/ira/</v>
      </c>
      <c r="B1027" s="34">
        <v>4</v>
      </c>
      <c r="C1027" s="34">
        <v>0</v>
      </c>
      <c r="D1027" s="34">
        <v>0</v>
      </c>
      <c r="E1027" s="34">
        <v>0</v>
      </c>
      <c r="F1027" s="34">
        <v>301</v>
      </c>
      <c r="G1027" s="34">
        <v>0</v>
      </c>
      <c r="H1027" s="34"/>
      <c r="I1027" s="34" t="s">
        <v>1561</v>
      </c>
      <c r="J1027" s="34" t="s">
        <v>1561</v>
      </c>
      <c r="K1027" s="107" t="s">
        <v>1561</v>
      </c>
      <c r="L1027" s="34" t="s">
        <v>1561</v>
      </c>
    </row>
    <row r="1028" spans="1:12" ht="16.5" x14ac:dyDescent="0.35">
      <c r="A1028" s="109" t="str">
        <f>HYPERLINK("http://examplebusiness.comtag/life-insurance/","http://examplebusiness.comtag/life-insurance/")</f>
        <v>http://examplebusiness.comtag/life-insurance/</v>
      </c>
      <c r="B1028" s="34">
        <v>4</v>
      </c>
      <c r="C1028" s="34">
        <v>0</v>
      </c>
      <c r="D1028" s="34">
        <v>0</v>
      </c>
      <c r="E1028" s="34">
        <v>0</v>
      </c>
      <c r="F1028" s="34">
        <v>301</v>
      </c>
      <c r="G1028" s="34">
        <v>0</v>
      </c>
      <c r="H1028" s="34"/>
      <c r="I1028" s="34" t="s">
        <v>1561</v>
      </c>
      <c r="J1028" s="34" t="s">
        <v>1561</v>
      </c>
      <c r="K1028" s="107" t="s">
        <v>1561</v>
      </c>
      <c r="L1028" s="34" t="s">
        <v>1561</v>
      </c>
    </row>
    <row r="1029" spans="1:12" ht="16.5" x14ac:dyDescent="0.35">
      <c r="A1029" s="109" t="str">
        <f>HYPERLINK("http://examplebusiness.comtag/long-term-care-insurance/","http://examplebusiness.comtag/long-term-care-insurance/")</f>
        <v>http://examplebusiness.comtag/long-term-care-insurance/</v>
      </c>
      <c r="B1029" s="34">
        <v>4</v>
      </c>
      <c r="C1029" s="34">
        <v>0</v>
      </c>
      <c r="D1029" s="34">
        <v>0</v>
      </c>
      <c r="E1029" s="34">
        <v>0</v>
      </c>
      <c r="F1029" s="34">
        <v>301</v>
      </c>
      <c r="G1029" s="34">
        <v>0</v>
      </c>
      <c r="H1029" s="34"/>
      <c r="I1029" s="34" t="s">
        <v>1561</v>
      </c>
      <c r="J1029" s="34" t="s">
        <v>1561</v>
      </c>
      <c r="K1029" s="107" t="s">
        <v>1561</v>
      </c>
      <c r="L1029" s="34" t="s">
        <v>1561</v>
      </c>
    </row>
    <row r="1030" spans="1:12" ht="16.5" x14ac:dyDescent="0.35">
      <c r="A1030" s="109" t="str">
        <f>HYPERLINK("http://examplebusiness.comtag/market/","http://examplebusiness.comtag/market/")</f>
        <v>http://examplebusiness.comtag/market/</v>
      </c>
      <c r="B1030" s="34">
        <v>4</v>
      </c>
      <c r="C1030" s="34">
        <v>0</v>
      </c>
      <c r="D1030" s="34">
        <v>0</v>
      </c>
      <c r="E1030" s="34">
        <v>0</v>
      </c>
      <c r="F1030" s="34">
        <v>301</v>
      </c>
      <c r="G1030" s="34">
        <v>0</v>
      </c>
      <c r="H1030" s="34"/>
      <c r="I1030" s="34" t="s">
        <v>1561</v>
      </c>
      <c r="J1030" s="34" t="s">
        <v>1561</v>
      </c>
      <c r="K1030" s="107" t="s">
        <v>1561</v>
      </c>
      <c r="L1030" s="34" t="s">
        <v>1561</v>
      </c>
    </row>
    <row r="1031" spans="1:12" ht="16.5" x14ac:dyDescent="0.35">
      <c r="A1031" s="109" t="str">
        <f>HYPERLINK("http://examplebusiness.comtag/minneapolis/","http://examplebusiness.comtag/minneapolis/")</f>
        <v>http://examplebusiness.comtag/minneapolis/</v>
      </c>
      <c r="B1031" s="34">
        <v>4</v>
      </c>
      <c r="C1031" s="34">
        <v>0</v>
      </c>
      <c r="D1031" s="34">
        <v>0</v>
      </c>
      <c r="E1031" s="34">
        <v>0</v>
      </c>
      <c r="F1031" s="34">
        <v>301</v>
      </c>
      <c r="G1031" s="34">
        <v>0</v>
      </c>
      <c r="H1031" s="34"/>
      <c r="I1031" s="34" t="s">
        <v>1561</v>
      </c>
      <c r="J1031" s="34" t="s">
        <v>1561</v>
      </c>
      <c r="K1031" s="107" t="s">
        <v>1561</v>
      </c>
      <c r="L1031" s="34" t="s">
        <v>1561</v>
      </c>
    </row>
    <row r="1032" spans="1:12" ht="16.5" x14ac:dyDescent="0.35">
      <c r="A1032" s="109" t="str">
        <f>HYPERLINK("http://examplebusiness.comtag/new-years-resolutions/","http://examplebusiness.comtag/new-years-resolutions/")</f>
        <v>http://examplebusiness.comtag/new-years-resolutions/</v>
      </c>
      <c r="B1032" s="34">
        <v>4</v>
      </c>
      <c r="C1032" s="34">
        <v>0</v>
      </c>
      <c r="D1032" s="34">
        <v>0</v>
      </c>
      <c r="E1032" s="34">
        <v>0</v>
      </c>
      <c r="F1032" s="34">
        <v>301</v>
      </c>
      <c r="G1032" s="34">
        <v>0</v>
      </c>
      <c r="H1032" s="34"/>
      <c r="I1032" s="34" t="s">
        <v>1561</v>
      </c>
      <c r="J1032" s="34" t="s">
        <v>1561</v>
      </c>
      <c r="K1032" s="107" t="s">
        <v>1561</v>
      </c>
      <c r="L1032" s="34" t="s">
        <v>1561</v>
      </c>
    </row>
    <row r="1033" spans="1:12" ht="16.5" x14ac:dyDescent="0.35">
      <c r="A1033" s="109" t="str">
        <f>HYPERLINK("http://examplebusiness.comtag/retirement-planning/","http://examplebusiness.comtag/retirement-planning/")</f>
        <v>http://examplebusiness.comtag/retirement-planning/</v>
      </c>
      <c r="B1033" s="34">
        <v>4</v>
      </c>
      <c r="C1033" s="34">
        <v>0</v>
      </c>
      <c r="D1033" s="34">
        <v>0</v>
      </c>
      <c r="E1033" s="34">
        <v>0</v>
      </c>
      <c r="F1033" s="34">
        <v>301</v>
      </c>
      <c r="G1033" s="34">
        <v>0</v>
      </c>
      <c r="H1033" s="34"/>
      <c r="I1033" s="34" t="s">
        <v>1561</v>
      </c>
      <c r="J1033" s="34" t="s">
        <v>1561</v>
      </c>
      <c r="K1033" s="107" t="s">
        <v>1561</v>
      </c>
      <c r="L1033" s="34" t="s">
        <v>1561</v>
      </c>
    </row>
    <row r="1034" spans="1:12" ht="16.5" x14ac:dyDescent="0.35">
      <c r="A1034" s="109" t="str">
        <f>HYPERLINK("http://examplebusiness.comtag/social-security/","http://examplebusiness.comtag/social-security/")</f>
        <v>http://examplebusiness.comtag/social-security/</v>
      </c>
      <c r="B1034" s="34">
        <v>4</v>
      </c>
      <c r="C1034" s="34">
        <v>0</v>
      </c>
      <c r="D1034" s="34">
        <v>0</v>
      </c>
      <c r="E1034" s="34">
        <v>0</v>
      </c>
      <c r="F1034" s="34">
        <v>301</v>
      </c>
      <c r="G1034" s="34">
        <v>0</v>
      </c>
      <c r="H1034" s="34"/>
      <c r="I1034" s="34" t="s">
        <v>1561</v>
      </c>
      <c r="J1034" s="34" t="s">
        <v>1561</v>
      </c>
      <c r="K1034" s="107" t="s">
        <v>1561</v>
      </c>
      <c r="L1034" s="34" t="s">
        <v>1561</v>
      </c>
    </row>
    <row r="1035" spans="1:12" ht="16.5" x14ac:dyDescent="0.35">
      <c r="A1035" s="109" t="str">
        <f>HYPERLINK("http://examplebusiness.comtag/stocks/","http://examplebusiness.comtag/stocks/")</f>
        <v>http://examplebusiness.comtag/stocks/</v>
      </c>
      <c r="B1035" s="34">
        <v>4</v>
      </c>
      <c r="C1035" s="34">
        <v>0</v>
      </c>
      <c r="D1035" s="34">
        <v>0</v>
      </c>
      <c r="E1035" s="34">
        <v>0</v>
      </c>
      <c r="F1035" s="34">
        <v>301</v>
      </c>
      <c r="G1035" s="34">
        <v>0</v>
      </c>
      <c r="H1035" s="34"/>
      <c r="I1035" s="34" t="s">
        <v>1561</v>
      </c>
      <c r="J1035" s="34" t="s">
        <v>1561</v>
      </c>
      <c r="K1035" s="107" t="s">
        <v>1561</v>
      </c>
      <c r="L1035" s="34" t="s">
        <v>1561</v>
      </c>
    </row>
    <row r="1036" spans="1:12" ht="16.5" x14ac:dyDescent="0.35">
      <c r="A1036" s="109" t="str">
        <f>HYPERLINK("http://examplebusiness.comtag/tax-return/","http://examplebusiness.comtag/tax-return/")</f>
        <v>http://examplebusiness.comtag/tax-return/</v>
      </c>
      <c r="B1036" s="34">
        <v>4</v>
      </c>
      <c r="C1036" s="34">
        <v>0</v>
      </c>
      <c r="D1036" s="34">
        <v>0</v>
      </c>
      <c r="E1036" s="34">
        <v>0</v>
      </c>
      <c r="F1036" s="34">
        <v>301</v>
      </c>
      <c r="G1036" s="34">
        <v>0</v>
      </c>
      <c r="H1036" s="34"/>
      <c r="I1036" s="34" t="s">
        <v>1561</v>
      </c>
      <c r="J1036" s="34" t="s">
        <v>1561</v>
      </c>
      <c r="K1036" s="107" t="s">
        <v>1561</v>
      </c>
      <c r="L1036" s="34" t="s">
        <v>1561</v>
      </c>
    </row>
    <row r="1037" spans="1:12" ht="16.5" x14ac:dyDescent="0.35">
      <c r="A1037" s="109" t="str">
        <f>HYPERLINK("http://examplebusiness.comtag/trends/","http://examplebusiness.comtag/trends/")</f>
        <v>http://examplebusiness.comtag/trends/</v>
      </c>
      <c r="B1037" s="34">
        <v>4</v>
      </c>
      <c r="C1037" s="34">
        <v>0</v>
      </c>
      <c r="D1037" s="34">
        <v>0</v>
      </c>
      <c r="E1037" s="34">
        <v>0</v>
      </c>
      <c r="F1037" s="34">
        <v>301</v>
      </c>
      <c r="G1037" s="34">
        <v>0</v>
      </c>
      <c r="H1037" s="34"/>
      <c r="I1037" s="34" t="s">
        <v>1561</v>
      </c>
      <c r="J1037" s="34" t="s">
        <v>1561</v>
      </c>
      <c r="K1037" s="107" t="s">
        <v>1561</v>
      </c>
      <c r="L1037" s="34" t="s">
        <v>1561</v>
      </c>
    </row>
    <row r="1038" spans="1:12" ht="16.5" x14ac:dyDescent="0.35">
      <c r="A1038" s="109" t="str">
        <f>HYPERLINK("http://examplebusiness.comtag/wealth-management/","http://examplebusiness.comtag/wealth-management/")</f>
        <v>http://examplebusiness.comtag/wealth-management/</v>
      </c>
      <c r="B1038" s="34">
        <v>4</v>
      </c>
      <c r="C1038" s="34">
        <v>0</v>
      </c>
      <c r="D1038" s="34">
        <v>0</v>
      </c>
      <c r="E1038" s="34">
        <v>0</v>
      </c>
      <c r="F1038" s="34">
        <v>301</v>
      </c>
      <c r="G1038" s="34">
        <v>0</v>
      </c>
      <c r="H1038" s="34"/>
      <c r="I1038" s="34" t="s">
        <v>1561</v>
      </c>
      <c r="J1038" s="34" t="s">
        <v>1561</v>
      </c>
      <c r="K1038" s="107" t="s">
        <v>1561</v>
      </c>
      <c r="L1038" s="34" t="s">
        <v>1561</v>
      </c>
    </row>
    <row r="1039" spans="1:12" ht="16.5" x14ac:dyDescent="0.35">
      <c r="A1039" s="109" t="str">
        <f>HYPERLINK("http://examplebusiness.comtag/wealth-transfer/","http://examplebusiness.comtag/wealth-transfer/")</f>
        <v>http://examplebusiness.comtag/wealth-transfer/</v>
      </c>
      <c r="B1039" s="34">
        <v>4</v>
      </c>
      <c r="C1039" s="34">
        <v>0</v>
      </c>
      <c r="D1039" s="34">
        <v>0</v>
      </c>
      <c r="E1039" s="34">
        <v>0</v>
      </c>
      <c r="F1039" s="34">
        <v>301</v>
      </c>
      <c r="G1039" s="34">
        <v>0</v>
      </c>
      <c r="H1039" s="34"/>
      <c r="I1039" s="34" t="s">
        <v>1561</v>
      </c>
      <c r="J1039" s="34" t="s">
        <v>1561</v>
      </c>
      <c r="K1039" s="107" t="s">
        <v>1561</v>
      </c>
      <c r="L1039" s="34" t="s">
        <v>1561</v>
      </c>
    </row>
    <row r="1040" spans="1:12" ht="16.5" x14ac:dyDescent="0.35">
      <c r="A1040" s="109" t="str">
        <f>HYPERLINK("http://examplebusiness.comtag/webinar-2/","http://examplebusiness.comtag/webinar-2/")</f>
        <v>http://examplebusiness.comtag/webinar-2/</v>
      </c>
      <c r="B1040" s="34">
        <v>4</v>
      </c>
      <c r="C1040" s="34">
        <v>0</v>
      </c>
      <c r="D1040" s="34">
        <v>0</v>
      </c>
      <c r="E1040" s="34">
        <v>0</v>
      </c>
      <c r="F1040" s="34">
        <v>301</v>
      </c>
      <c r="G1040" s="34">
        <v>0</v>
      </c>
      <c r="H1040" s="34"/>
      <c r="I1040" s="34" t="s">
        <v>1561</v>
      </c>
      <c r="J1040" s="34" t="s">
        <v>1561</v>
      </c>
      <c r="K1040" s="107" t="s">
        <v>1561</v>
      </c>
      <c r="L1040" s="34" t="s">
        <v>1561</v>
      </c>
    </row>
    <row r="1041" spans="1:12" ht="16.5" x14ac:dyDescent="0.35">
      <c r="A1041" s="109" t="str">
        <f>HYPERLINK("http://examplebusiness.comtag/year-end-tax-deductions/","http://examplebusiness.comtag/year-end-tax-deductions/")</f>
        <v>http://examplebusiness.comtag/year-end-tax-deductions/</v>
      </c>
      <c r="B1041" s="34">
        <v>4</v>
      </c>
      <c r="C1041" s="34">
        <v>0</v>
      </c>
      <c r="D1041" s="34">
        <v>0</v>
      </c>
      <c r="E1041" s="34">
        <v>0</v>
      </c>
      <c r="F1041" s="34">
        <v>301</v>
      </c>
      <c r="G1041" s="34">
        <v>0</v>
      </c>
      <c r="H1041" s="34"/>
      <c r="I1041" s="34" t="s">
        <v>1561</v>
      </c>
      <c r="J1041" s="34" t="s">
        <v>1561</v>
      </c>
      <c r="K1041" s="107" t="s">
        <v>1561</v>
      </c>
      <c r="L1041" s="34" t="s">
        <v>1561</v>
      </c>
    </row>
    <row r="1042" spans="1:12" ht="16.5" x14ac:dyDescent="0.35">
      <c r="A1042" s="109" t="str">
        <f>HYPERLINK("http://www.examplebusiness.comTaxation.aspx","http://www.examplebusiness.comTaxation.aspx")</f>
        <v>http://www.examplebusiness.comTaxation.aspx</v>
      </c>
      <c r="B1042" s="34">
        <v>4</v>
      </c>
      <c r="C1042" s="34">
        <v>0</v>
      </c>
      <c r="D1042" s="34">
        <v>0</v>
      </c>
      <c r="E1042" s="34">
        <v>0</v>
      </c>
      <c r="F1042" s="34">
        <v>301</v>
      </c>
      <c r="G1042" s="34">
        <v>0</v>
      </c>
      <c r="H1042" s="34"/>
      <c r="I1042" s="34" t="s">
        <v>1561</v>
      </c>
      <c r="J1042" s="34" t="s">
        <v>1561</v>
      </c>
      <c r="K1042" s="107" t="s">
        <v>1561</v>
      </c>
      <c r="L1042" s="34" t="s">
        <v>1561</v>
      </c>
    </row>
    <row r="1043" spans="1:12" ht="16.5" x14ac:dyDescent="0.35">
      <c r="A1043" s="109" t="str">
        <f>HYPERLINK("http://examplebusiness.comthe-common-correction/","http://examplebusiness.comthe-common-correction/")</f>
        <v>http://examplebusiness.comthe-common-correction/</v>
      </c>
      <c r="B1043" s="34">
        <v>4</v>
      </c>
      <c r="C1043" s="34">
        <v>0</v>
      </c>
      <c r="D1043" s="34">
        <v>0</v>
      </c>
      <c r="E1043" s="34">
        <v>0</v>
      </c>
      <c r="F1043" s="34">
        <v>301</v>
      </c>
      <c r="G1043" s="34">
        <v>0</v>
      </c>
      <c r="H1043" s="34"/>
      <c r="I1043" s="34" t="s">
        <v>1561</v>
      </c>
      <c r="J1043" s="34" t="s">
        <v>1561</v>
      </c>
      <c r="K1043" s="107" t="s">
        <v>1561</v>
      </c>
      <c r="L1043" s="34" t="s">
        <v>1561</v>
      </c>
    </row>
    <row r="1044" spans="1:12" ht="16.5" x14ac:dyDescent="0.35">
      <c r="A1044" s="109" t="str">
        <f>HYPERLINK("http://examplebusiness.comthe-elements-of-the-mobile-user-experience","http://examplebusiness.comthe-elements-of-the-mobile-user-experience")</f>
        <v>http://examplebusiness.comthe-elements-of-the-mobile-user-experience</v>
      </c>
      <c r="B1044" s="34">
        <v>4</v>
      </c>
      <c r="C1044" s="34">
        <v>0</v>
      </c>
      <c r="D1044" s="34">
        <v>0</v>
      </c>
      <c r="E1044" s="34">
        <v>0</v>
      </c>
      <c r="F1044" s="34">
        <v>301</v>
      </c>
      <c r="G1044" s="34">
        <v>0</v>
      </c>
      <c r="H1044" s="34"/>
      <c r="I1044" s="34" t="s">
        <v>1561</v>
      </c>
      <c r="J1044" s="34" t="s">
        <v>1561</v>
      </c>
      <c r="K1044" s="107" t="s">
        <v>1561</v>
      </c>
      <c r="L1044" s="34" t="s">
        <v>1561</v>
      </c>
    </row>
    <row r="1045" spans="1:12" ht="16.5" x14ac:dyDescent="0.35">
      <c r="A1045" s="109" t="str">
        <f>HYPERLINK("http://examplebusiness.comthe-elements-of-the-mobile-user-experience/","http://examplebusiness.comthe-elements-of-the-mobile-user-experience/")</f>
        <v>http://examplebusiness.comthe-elements-of-the-mobile-user-experience/</v>
      </c>
      <c r="B1045" s="34">
        <v>4</v>
      </c>
      <c r="C1045" s="34">
        <v>0</v>
      </c>
      <c r="D1045" s="34">
        <v>0</v>
      </c>
      <c r="E1045" s="34">
        <v>0</v>
      </c>
      <c r="F1045" s="34">
        <v>301</v>
      </c>
      <c r="G1045" s="34">
        <v>0</v>
      </c>
      <c r="H1045" s="34"/>
      <c r="I1045" s="34" t="s">
        <v>1561</v>
      </c>
      <c r="J1045" s="34" t="s">
        <v>1561</v>
      </c>
      <c r="K1045" s="107" t="s">
        <v>1561</v>
      </c>
      <c r="L1045" s="34" t="s">
        <v>1561</v>
      </c>
    </row>
    <row r="1046" spans="1:12" ht="16.5" x14ac:dyDescent="0.35">
      <c r="A1046" s="109" t="str">
        <f>HYPERLINK("http://www.examplebusiness.comthemarket.aspx","http://www.examplebusiness.comthemarket.aspx")</f>
        <v>http://www.examplebusiness.comthemarket.aspx</v>
      </c>
      <c r="B1046" s="34">
        <v>4</v>
      </c>
      <c r="C1046" s="34">
        <v>0</v>
      </c>
      <c r="D1046" s="34">
        <v>0</v>
      </c>
      <c r="E1046" s="34">
        <v>0</v>
      </c>
      <c r="F1046" s="34">
        <v>301</v>
      </c>
      <c r="G1046" s="34">
        <v>0</v>
      </c>
      <c r="H1046" s="34"/>
      <c r="I1046" s="34" t="s">
        <v>1561</v>
      </c>
      <c r="J1046" s="34" t="s">
        <v>1561</v>
      </c>
      <c r="K1046" s="107" t="s">
        <v>1561</v>
      </c>
      <c r="L1046" s="34" t="s">
        <v>1561</v>
      </c>
    </row>
    <row r="1047" spans="1:12" ht="16.5" x14ac:dyDescent="0.35">
      <c r="A1047" s="109" t="str">
        <f>HYPERLINK("http://examplebusiness.comthemarket.aspx","http://examplebusiness.comthemarket.aspx")</f>
        <v>http://examplebusiness.comthemarket.aspx</v>
      </c>
      <c r="B1047" s="34">
        <v>4</v>
      </c>
      <c r="C1047" s="34">
        <v>0</v>
      </c>
      <c r="D1047" s="34">
        <v>0</v>
      </c>
      <c r="E1047" s="34">
        <v>0</v>
      </c>
      <c r="F1047" s="34">
        <v>301</v>
      </c>
      <c r="G1047" s="34">
        <v>0</v>
      </c>
      <c r="H1047" s="34"/>
      <c r="I1047" s="34" t="s">
        <v>1561</v>
      </c>
      <c r="J1047" s="34" t="s">
        <v>1561</v>
      </c>
      <c r="K1047" s="107" t="s">
        <v>1561</v>
      </c>
      <c r="L1047" s="34" t="s">
        <v>1561</v>
      </c>
    </row>
    <row r="1048" spans="1:12" ht="16.5" x14ac:dyDescent="0.35">
      <c r="A1048" s="109" t="str">
        <f>HYPERLINK("http://www.examplebusiness.comtoolsandinfo.aspx","http://www.examplebusiness.comtoolsandinfo.aspx")</f>
        <v>http://www.examplebusiness.comtoolsandinfo.aspx</v>
      </c>
      <c r="B1048" s="34">
        <v>4</v>
      </c>
      <c r="C1048" s="34">
        <v>0</v>
      </c>
      <c r="D1048" s="34">
        <v>0</v>
      </c>
      <c r="E1048" s="34">
        <v>0</v>
      </c>
      <c r="F1048" s="34">
        <v>301</v>
      </c>
      <c r="G1048" s="34">
        <v>0</v>
      </c>
      <c r="H1048" s="34"/>
      <c r="I1048" s="34" t="s">
        <v>1561</v>
      </c>
      <c r="J1048" s="34" t="s">
        <v>1561</v>
      </c>
      <c r="K1048" s="107" t="s">
        <v>1561</v>
      </c>
      <c r="L1048" s="34" t="s">
        <v>1561</v>
      </c>
    </row>
    <row r="1049" spans="1:12" ht="16.5" x14ac:dyDescent="0.35">
      <c r="A1049" s="109" t="str">
        <f>HYPERLINK("http://examplebusiness.comtoolsandinfo.aspx","http://examplebusiness.comtoolsandinfo.aspx")</f>
        <v>http://examplebusiness.comtoolsandinfo.aspx</v>
      </c>
      <c r="B1049" s="34">
        <v>4</v>
      </c>
      <c r="C1049" s="34">
        <v>0</v>
      </c>
      <c r="D1049" s="34">
        <v>0</v>
      </c>
      <c r="E1049" s="34">
        <v>0</v>
      </c>
      <c r="F1049" s="34">
        <v>301</v>
      </c>
      <c r="G1049" s="34">
        <v>0</v>
      </c>
      <c r="H1049" s="34"/>
      <c r="I1049" s="34" t="s">
        <v>1561</v>
      </c>
      <c r="J1049" s="34" t="s">
        <v>1561</v>
      </c>
      <c r="K1049" s="107" t="s">
        <v>1561</v>
      </c>
      <c r="L1049" s="34" t="s">
        <v>1561</v>
      </c>
    </row>
    <row r="1050" spans="1:12" ht="16.5" x14ac:dyDescent="0.35">
      <c r="A1050" s="109" t="str">
        <f>HYPERLINK("http://www.examplebusiness.comupcoming-events/","http://www.examplebusiness.comupcoming-events/")</f>
        <v>http://www.examplebusiness.comupcoming-events/</v>
      </c>
      <c r="B1050" s="34">
        <v>4</v>
      </c>
      <c r="C1050" s="34">
        <v>0</v>
      </c>
      <c r="D1050" s="34">
        <v>0</v>
      </c>
      <c r="E1050" s="34">
        <v>0</v>
      </c>
      <c r="F1050" s="34">
        <v>301</v>
      </c>
      <c r="G1050" s="34">
        <v>0</v>
      </c>
      <c r="H1050" s="34"/>
      <c r="I1050" s="34" t="s">
        <v>1561</v>
      </c>
      <c r="J1050" s="34" t="s">
        <v>1561</v>
      </c>
      <c r="K1050" s="107" t="s">
        <v>1561</v>
      </c>
      <c r="L1050" s="34" t="s">
        <v>1561</v>
      </c>
    </row>
    <row r="1051" spans="1:12" ht="16.5" x14ac:dyDescent="0.35">
      <c r="A1051" s="109" t="str">
        <f>HYPERLINK("http://examplebusiness.comupcoming-events/","http://examplebusiness.comupcoming-events/")</f>
        <v>http://examplebusiness.comupcoming-events/</v>
      </c>
      <c r="B1051" s="34">
        <v>4</v>
      </c>
      <c r="C1051" s="34">
        <v>0</v>
      </c>
      <c r="D1051" s="34">
        <v>0</v>
      </c>
      <c r="E1051" s="34">
        <v>0</v>
      </c>
      <c r="F1051" s="34">
        <v>301</v>
      </c>
      <c r="G1051" s="34">
        <v>0</v>
      </c>
      <c r="H1051" s="34"/>
      <c r="I1051" s="34" t="s">
        <v>1561</v>
      </c>
      <c r="J1051" s="34" t="s">
        <v>1561</v>
      </c>
      <c r="K1051" s="107" t="s">
        <v>1561</v>
      </c>
      <c r="L1051" s="34" t="s">
        <v>1561</v>
      </c>
    </row>
    <row r="1052" spans="1:12" ht="16.5" x14ac:dyDescent="0.35">
      <c r="A1052" s="109" t="str">
        <f>HYPERLINK("http://examplebusiness.comupcoming-events","http://examplebusiness.comupcoming-events")</f>
        <v>http://examplebusiness.comupcoming-events</v>
      </c>
      <c r="B1052" s="34">
        <v>4</v>
      </c>
      <c r="C1052" s="34">
        <v>0</v>
      </c>
      <c r="D1052" s="34">
        <v>0</v>
      </c>
      <c r="E1052" s="34">
        <v>0</v>
      </c>
      <c r="F1052" s="34">
        <v>301</v>
      </c>
      <c r="G1052" s="34">
        <v>0</v>
      </c>
      <c r="H1052" s="34"/>
      <c r="I1052" s="34" t="s">
        <v>1561</v>
      </c>
      <c r="J1052" s="34" t="s">
        <v>1561</v>
      </c>
      <c r="K1052" s="107" t="s">
        <v>1561</v>
      </c>
      <c r="L1052" s="34" t="s">
        <v>1561</v>
      </c>
    </row>
    <row r="1053" spans="1:12" ht="16.5" x14ac:dyDescent="0.35">
      <c r="A1053" s="109" t="str">
        <f>HYPERLINK("http://examplebusiness.comupcoming-events/tel%20:9525428900","http://examplebusiness.comupcoming-events/tel%20:9525428900")</f>
        <v>http://examplebusiness.comupcoming-events/tel%20:9525428900</v>
      </c>
      <c r="B1053" s="34">
        <v>4</v>
      </c>
      <c r="C1053" s="34">
        <v>0</v>
      </c>
      <c r="D1053" s="34">
        <v>0</v>
      </c>
      <c r="E1053" s="34">
        <v>0</v>
      </c>
      <c r="F1053" s="34">
        <v>301</v>
      </c>
      <c r="G1053" s="34">
        <v>0</v>
      </c>
      <c r="H1053" s="34"/>
      <c r="I1053" s="34" t="s">
        <v>1561</v>
      </c>
      <c r="J1053" s="34" t="s">
        <v>1561</v>
      </c>
      <c r="K1053" s="107" t="s">
        <v>1561</v>
      </c>
      <c r="L1053" s="34" t="s">
        <v>1561</v>
      </c>
    </row>
    <row r="1054" spans="1:12" ht="16.5" x14ac:dyDescent="0.35">
      <c r="A1054" s="109" t="str">
        <f>HYPERLINK("http://www.examplebusiness.comVendor_Search.aspx","http://www.examplebusiness.comVendor_Search.aspx")</f>
        <v>http://www.examplebusiness.comVendor_Search.aspx</v>
      </c>
      <c r="B1054" s="34">
        <v>4</v>
      </c>
      <c r="C1054" s="34">
        <v>0</v>
      </c>
      <c r="D1054" s="34">
        <v>0</v>
      </c>
      <c r="E1054" s="34">
        <v>0</v>
      </c>
      <c r="F1054" s="34">
        <v>301</v>
      </c>
      <c r="G1054" s="34">
        <v>0</v>
      </c>
      <c r="H1054" s="34"/>
      <c r="I1054" s="34" t="s">
        <v>1561</v>
      </c>
      <c r="J1054" s="34" t="s">
        <v>1561</v>
      </c>
      <c r="K1054" s="107" t="s">
        <v>1561</v>
      </c>
      <c r="L1054" s="34" t="s">
        <v>1561</v>
      </c>
    </row>
    <row r="1055" spans="1:12" ht="16.5" x14ac:dyDescent="0.35">
      <c r="A1055" s="109" t="str">
        <f>HYPERLINK("http://www.examplebusiness.comVideo_013011.aspx","http://www.examplebusiness.comVideo_013011.aspx")</f>
        <v>http://www.examplebusiness.comVideo_013011.aspx</v>
      </c>
      <c r="B1055" s="34">
        <v>4</v>
      </c>
      <c r="C1055" s="34">
        <v>0</v>
      </c>
      <c r="D1055" s="34">
        <v>0</v>
      </c>
      <c r="E1055" s="34">
        <v>0</v>
      </c>
      <c r="F1055" s="34">
        <v>301</v>
      </c>
      <c r="G1055" s="34">
        <v>0</v>
      </c>
      <c r="H1055" s="34"/>
      <c r="I1055" s="34" t="s">
        <v>1561</v>
      </c>
      <c r="J1055" s="34" t="s">
        <v>1561</v>
      </c>
      <c r="K1055" s="107" t="s">
        <v>1561</v>
      </c>
      <c r="L1055" s="34" t="s">
        <v>1561</v>
      </c>
    </row>
    <row r="1056" spans="1:12" ht="16.5" x14ac:dyDescent="0.35">
      <c r="A1056" s="109" t="str">
        <f>HYPERLINK("http://www.examplebusiness.comVideo_020113.aspx","http://www.examplebusiness.comVideo_020113.aspx")</f>
        <v>http://www.examplebusiness.comVideo_020113.aspx</v>
      </c>
      <c r="B1056" s="34">
        <v>4</v>
      </c>
      <c r="C1056" s="34">
        <v>0</v>
      </c>
      <c r="D1056" s="34">
        <v>0</v>
      </c>
      <c r="E1056" s="34">
        <v>0</v>
      </c>
      <c r="F1056" s="34">
        <v>301</v>
      </c>
      <c r="G1056" s="34">
        <v>0</v>
      </c>
      <c r="H1056" s="34"/>
      <c r="I1056" s="34" t="s">
        <v>1561</v>
      </c>
      <c r="J1056" s="34" t="s">
        <v>1561</v>
      </c>
      <c r="K1056" s="107" t="s">
        <v>1561</v>
      </c>
      <c r="L1056" s="34" t="s">
        <v>1561</v>
      </c>
    </row>
    <row r="1057" spans="1:12" ht="16.5" x14ac:dyDescent="0.35">
      <c r="A1057" s="109" t="str">
        <f>HYPERLINK("http://www.examplebusiness.comVideo_021712.aspx","http://www.examplebusiness.comVideo_021712.aspx")</f>
        <v>http://www.examplebusiness.comVideo_021712.aspx</v>
      </c>
      <c r="B1057" s="34">
        <v>4</v>
      </c>
      <c r="C1057" s="34">
        <v>0</v>
      </c>
      <c r="D1057" s="34">
        <v>0</v>
      </c>
      <c r="E1057" s="34">
        <v>0</v>
      </c>
      <c r="F1057" s="34">
        <v>301</v>
      </c>
      <c r="G1057" s="34">
        <v>0</v>
      </c>
      <c r="H1057" s="34"/>
      <c r="I1057" s="34" t="s">
        <v>1561</v>
      </c>
      <c r="J1057" s="34" t="s">
        <v>1561</v>
      </c>
      <c r="K1057" s="107" t="s">
        <v>1561</v>
      </c>
      <c r="L1057" s="34" t="s">
        <v>1561</v>
      </c>
    </row>
    <row r="1058" spans="1:12" ht="16.5" x14ac:dyDescent="0.35">
      <c r="A1058" s="109" t="str">
        <f>HYPERLINK("http://www.examplebusiness.comVideo_031912.aspx","http://www.examplebusiness.comVideo_031912.aspx")</f>
        <v>http://www.examplebusiness.comVideo_031912.aspx</v>
      </c>
      <c r="B1058" s="34">
        <v>4</v>
      </c>
      <c r="C1058" s="34">
        <v>0</v>
      </c>
      <c r="D1058" s="34">
        <v>0</v>
      </c>
      <c r="E1058" s="34">
        <v>0</v>
      </c>
      <c r="F1058" s="34">
        <v>301</v>
      </c>
      <c r="G1058" s="34">
        <v>0</v>
      </c>
      <c r="H1058" s="34"/>
      <c r="I1058" s="34" t="s">
        <v>1561</v>
      </c>
      <c r="J1058" s="34" t="s">
        <v>1561</v>
      </c>
      <c r="K1058" s="107" t="s">
        <v>1561</v>
      </c>
      <c r="L1058" s="34" t="s">
        <v>1561</v>
      </c>
    </row>
    <row r="1059" spans="1:12" ht="16.5" x14ac:dyDescent="0.35">
      <c r="A1059" s="109" t="str">
        <f>HYPERLINK("http://www.examplebusiness.comVideo_040112.aspx","http://www.examplebusiness.comVideo_040112.aspx")</f>
        <v>http://www.examplebusiness.comVideo_040112.aspx</v>
      </c>
      <c r="B1059" s="34">
        <v>4</v>
      </c>
      <c r="C1059" s="34">
        <v>0</v>
      </c>
      <c r="D1059" s="34">
        <v>0</v>
      </c>
      <c r="E1059" s="34">
        <v>0</v>
      </c>
      <c r="F1059" s="34">
        <v>301</v>
      </c>
      <c r="G1059" s="34">
        <v>0</v>
      </c>
      <c r="H1059" s="34"/>
      <c r="I1059" s="34" t="s">
        <v>1561</v>
      </c>
      <c r="J1059" s="34" t="s">
        <v>1561</v>
      </c>
      <c r="K1059" s="107" t="s">
        <v>1561</v>
      </c>
      <c r="L1059" s="34" t="s">
        <v>1561</v>
      </c>
    </row>
    <row r="1060" spans="1:12" ht="16.5" x14ac:dyDescent="0.35">
      <c r="A1060" s="109" t="str">
        <f>HYPERLINK("http://www.examplebusiness.comVideo_041211.aspx","http://www.examplebusiness.comVideo_041211.aspx")</f>
        <v>http://www.examplebusiness.comVideo_041211.aspx</v>
      </c>
      <c r="B1060" s="34">
        <v>4</v>
      </c>
      <c r="C1060" s="34">
        <v>0</v>
      </c>
      <c r="D1060" s="34">
        <v>0</v>
      </c>
      <c r="E1060" s="34">
        <v>0</v>
      </c>
      <c r="F1060" s="34">
        <v>301</v>
      </c>
      <c r="G1060" s="34">
        <v>0</v>
      </c>
      <c r="H1060" s="34"/>
      <c r="I1060" s="34" t="s">
        <v>1561</v>
      </c>
      <c r="J1060" s="34" t="s">
        <v>1561</v>
      </c>
      <c r="K1060" s="107" t="s">
        <v>1561</v>
      </c>
      <c r="L1060" s="34" t="s">
        <v>1561</v>
      </c>
    </row>
    <row r="1061" spans="1:12" ht="16.5" x14ac:dyDescent="0.35">
      <c r="A1061" s="109" t="str">
        <f>HYPERLINK("http://www.examplebusiness.comVideo_050610.aspx","http://www.examplebusiness.comVideo_050610.aspx")</f>
        <v>http://www.examplebusiness.comVideo_050610.aspx</v>
      </c>
      <c r="B1061" s="34">
        <v>4</v>
      </c>
      <c r="C1061" s="34">
        <v>0</v>
      </c>
      <c r="D1061" s="34">
        <v>0</v>
      </c>
      <c r="E1061" s="34">
        <v>0</v>
      </c>
      <c r="F1061" s="34">
        <v>301</v>
      </c>
      <c r="G1061" s="34">
        <v>0</v>
      </c>
      <c r="H1061" s="34"/>
      <c r="I1061" s="34" t="s">
        <v>1561</v>
      </c>
      <c r="J1061" s="34" t="s">
        <v>1561</v>
      </c>
      <c r="K1061" s="107" t="s">
        <v>1561</v>
      </c>
      <c r="L1061" s="34" t="s">
        <v>1561</v>
      </c>
    </row>
    <row r="1062" spans="1:12" ht="16.5" x14ac:dyDescent="0.35">
      <c r="A1062" s="109" t="str">
        <f>HYPERLINK("http://www.examplebusiness.comVideo_06142012.aspx","http://www.examplebusiness.comVideo_06142012.aspx")</f>
        <v>http://www.examplebusiness.comVideo_06142012.aspx</v>
      </c>
      <c r="B1062" s="34">
        <v>4</v>
      </c>
      <c r="C1062" s="34">
        <v>0</v>
      </c>
      <c r="D1062" s="34">
        <v>0</v>
      </c>
      <c r="E1062" s="34">
        <v>0</v>
      </c>
      <c r="F1062" s="34">
        <v>301</v>
      </c>
      <c r="G1062" s="34">
        <v>0</v>
      </c>
      <c r="H1062" s="34"/>
      <c r="I1062" s="34" t="s">
        <v>1561</v>
      </c>
      <c r="J1062" s="34" t="s">
        <v>1561</v>
      </c>
      <c r="K1062" s="107" t="s">
        <v>1561</v>
      </c>
      <c r="L1062" s="34" t="s">
        <v>1561</v>
      </c>
    </row>
    <row r="1063" spans="1:12" ht="16.5" x14ac:dyDescent="0.35">
      <c r="A1063" s="109" t="str">
        <f>HYPERLINK("http://www.examplebusiness.comVideo_080311.aspx","http://www.examplebusiness.comVideo_080311.aspx")</f>
        <v>http://www.examplebusiness.comVideo_080311.aspx</v>
      </c>
      <c r="B1063" s="34">
        <v>4</v>
      </c>
      <c r="C1063" s="34">
        <v>0</v>
      </c>
      <c r="D1063" s="34">
        <v>0</v>
      </c>
      <c r="E1063" s="34">
        <v>0</v>
      </c>
      <c r="F1063" s="34">
        <v>301</v>
      </c>
      <c r="G1063" s="34">
        <v>0</v>
      </c>
      <c r="H1063" s="34"/>
      <c r="I1063" s="34" t="s">
        <v>1561</v>
      </c>
      <c r="J1063" s="34" t="s">
        <v>1561</v>
      </c>
      <c r="K1063" s="107" t="s">
        <v>1561</v>
      </c>
      <c r="L1063" s="34" t="s">
        <v>1561</v>
      </c>
    </row>
    <row r="1064" spans="1:12" ht="16.5" x14ac:dyDescent="0.35">
      <c r="A1064" s="109" t="str">
        <f>HYPERLINK("http://www.examplebusiness.comVideo_092511.aspx","http://www.examplebusiness.comVideo_092511.aspx")</f>
        <v>http://www.examplebusiness.comVideo_092511.aspx</v>
      </c>
      <c r="B1064" s="34">
        <v>4</v>
      </c>
      <c r="C1064" s="34">
        <v>0</v>
      </c>
      <c r="D1064" s="34">
        <v>0</v>
      </c>
      <c r="E1064" s="34">
        <v>0</v>
      </c>
      <c r="F1064" s="34">
        <v>301</v>
      </c>
      <c r="G1064" s="34">
        <v>0</v>
      </c>
      <c r="H1064" s="34"/>
      <c r="I1064" s="34" t="s">
        <v>1561</v>
      </c>
      <c r="J1064" s="34" t="s">
        <v>1561</v>
      </c>
      <c r="K1064" s="107" t="s">
        <v>1561</v>
      </c>
      <c r="L1064" s="34" t="s">
        <v>1561</v>
      </c>
    </row>
    <row r="1065" spans="1:12" ht="16.5" x14ac:dyDescent="0.35">
      <c r="A1065" s="109" t="str">
        <f>HYPERLINK("http://www.examplebusiness.comVideo_101512.aspx","http://www.examplebusiness.comVideo_101512.aspx")</f>
        <v>http://www.examplebusiness.comVideo_101512.aspx</v>
      </c>
      <c r="B1065" s="34">
        <v>4</v>
      </c>
      <c r="C1065" s="34">
        <v>0</v>
      </c>
      <c r="D1065" s="34">
        <v>0</v>
      </c>
      <c r="E1065" s="34">
        <v>0</v>
      </c>
      <c r="F1065" s="34">
        <v>301</v>
      </c>
      <c r="G1065" s="34">
        <v>0</v>
      </c>
      <c r="H1065" s="34"/>
      <c r="I1065" s="34" t="s">
        <v>1561</v>
      </c>
      <c r="J1065" s="34" t="s">
        <v>1561</v>
      </c>
      <c r="K1065" s="107" t="s">
        <v>1561</v>
      </c>
      <c r="L1065" s="34" t="s">
        <v>1561</v>
      </c>
    </row>
    <row r="1066" spans="1:12" ht="16.5" x14ac:dyDescent="0.35">
      <c r="A1066" s="109" t="str">
        <f>HYPERLINK("http://www.examplebusiness.comVideo_103011.aspx","http://www.examplebusiness.comVideo_103011.aspx")</f>
        <v>http://www.examplebusiness.comVideo_103011.aspx</v>
      </c>
      <c r="B1066" s="34">
        <v>4</v>
      </c>
      <c r="C1066" s="34">
        <v>0</v>
      </c>
      <c r="D1066" s="34">
        <v>0</v>
      </c>
      <c r="E1066" s="34">
        <v>0</v>
      </c>
      <c r="F1066" s="34">
        <v>301</v>
      </c>
      <c r="G1066" s="34">
        <v>0</v>
      </c>
      <c r="H1066" s="34"/>
      <c r="I1066" s="34" t="s">
        <v>1561</v>
      </c>
      <c r="J1066" s="34" t="s">
        <v>1561</v>
      </c>
      <c r="K1066" s="107" t="s">
        <v>1561</v>
      </c>
      <c r="L1066" s="34" t="s">
        <v>1561</v>
      </c>
    </row>
    <row r="1067" spans="1:12" ht="16.5" x14ac:dyDescent="0.35">
      <c r="A1067" s="109" t="str">
        <f>HYPERLINK("http://www.examplebusiness.comVideo_121811.aspx","http://www.examplebusiness.comVideo_121811.aspx")</f>
        <v>http://www.examplebusiness.comVideo_121811.aspx</v>
      </c>
      <c r="B1067" s="34">
        <v>4</v>
      </c>
      <c r="C1067" s="34">
        <v>0</v>
      </c>
      <c r="D1067" s="34">
        <v>0</v>
      </c>
      <c r="E1067" s="34">
        <v>0</v>
      </c>
      <c r="F1067" s="34">
        <v>301</v>
      </c>
      <c r="G1067" s="34">
        <v>0</v>
      </c>
      <c r="H1067" s="34"/>
      <c r="I1067" s="34" t="s">
        <v>1561</v>
      </c>
      <c r="J1067" s="34" t="s">
        <v>1561</v>
      </c>
      <c r="K1067" s="107" t="s">
        <v>1561</v>
      </c>
      <c r="L1067" s="34" t="s">
        <v>1561</v>
      </c>
    </row>
    <row r="1068" spans="1:12" ht="16.5" x14ac:dyDescent="0.35">
      <c r="A1068" s="109" t="str">
        <f>HYPERLINK("http://www.examplebusiness.comVideo_123011.aspx","http://www.examplebusiness.comVideo_123011.aspx")</f>
        <v>http://www.examplebusiness.comVideo_123011.aspx</v>
      </c>
      <c r="B1068" s="34">
        <v>4</v>
      </c>
      <c r="C1068" s="34">
        <v>0</v>
      </c>
      <c r="D1068" s="34">
        <v>0</v>
      </c>
      <c r="E1068" s="34">
        <v>0</v>
      </c>
      <c r="F1068" s="34">
        <v>301</v>
      </c>
      <c r="G1068" s="34">
        <v>0</v>
      </c>
      <c r="H1068" s="34"/>
      <c r="I1068" s="34" t="s">
        <v>1561</v>
      </c>
      <c r="J1068" s="34" t="s">
        <v>1561</v>
      </c>
      <c r="K1068" s="107" t="s">
        <v>1561</v>
      </c>
      <c r="L1068" s="34" t="s">
        <v>1561</v>
      </c>
    </row>
    <row r="1069" spans="1:12" ht="16.5" x14ac:dyDescent="0.35">
      <c r="A1069" s="109" t="str">
        <f>HYPERLINK("http://www.examplebusiness.comVideo_1_080911.aspx","http://www.examplebusiness.comVideo_1_080911.aspx")</f>
        <v>http://www.examplebusiness.comVideo_1_080911.aspx</v>
      </c>
      <c r="B1069" s="34">
        <v>4</v>
      </c>
      <c r="C1069" s="34">
        <v>0</v>
      </c>
      <c r="D1069" s="34">
        <v>0</v>
      </c>
      <c r="E1069" s="34">
        <v>0</v>
      </c>
      <c r="F1069" s="34">
        <v>301</v>
      </c>
      <c r="G1069" s="34">
        <v>0</v>
      </c>
      <c r="H1069" s="34"/>
      <c r="I1069" s="34" t="s">
        <v>1561</v>
      </c>
      <c r="J1069" s="34" t="s">
        <v>1561</v>
      </c>
      <c r="K1069" s="107" t="s">
        <v>1561</v>
      </c>
      <c r="L1069" s="34" t="s">
        <v>1561</v>
      </c>
    </row>
    <row r="1070" spans="1:12" ht="16.5" x14ac:dyDescent="0.35">
      <c r="A1070" s="109" t="str">
        <f>HYPERLINK("http://www.examplebusiness.comVideo_2_080911.aspx","http://www.examplebusiness.comVideo_2_080911.aspx")</f>
        <v>http://www.examplebusiness.comVideo_2_080911.aspx</v>
      </c>
      <c r="B1070" s="34">
        <v>4</v>
      </c>
      <c r="C1070" s="34">
        <v>0</v>
      </c>
      <c r="D1070" s="34">
        <v>0</v>
      </c>
      <c r="E1070" s="34">
        <v>0</v>
      </c>
      <c r="F1070" s="34">
        <v>301</v>
      </c>
      <c r="G1070" s="34">
        <v>0</v>
      </c>
      <c r="H1070" s="34"/>
      <c r="I1070" s="34" t="s">
        <v>1561</v>
      </c>
      <c r="J1070" s="34" t="s">
        <v>1561</v>
      </c>
      <c r="K1070" s="107" t="s">
        <v>1561</v>
      </c>
      <c r="L1070" s="34" t="s">
        <v>1561</v>
      </c>
    </row>
    <row r="1071" spans="1:12" ht="16.5" x14ac:dyDescent="0.35">
      <c r="A1071" s="109" t="str">
        <f>HYPERLINK("http://examplebusiness.comwebinar/","http://examplebusiness.comwebinar/")</f>
        <v>http://examplebusiness.comwebinar/</v>
      </c>
      <c r="B1071" s="34">
        <v>4</v>
      </c>
      <c r="C1071" s="34">
        <v>0</v>
      </c>
      <c r="D1071" s="34">
        <v>0</v>
      </c>
      <c r="E1071" s="34">
        <v>0</v>
      </c>
      <c r="F1071" s="34">
        <v>301</v>
      </c>
      <c r="G1071" s="34">
        <v>0</v>
      </c>
      <c r="H1071" s="34"/>
      <c r="I1071" s="34" t="s">
        <v>1561</v>
      </c>
      <c r="J1071" s="34" t="s">
        <v>1561</v>
      </c>
      <c r="K1071" s="107" t="s">
        <v>1561</v>
      </c>
      <c r="L1071" s="34" t="s">
        <v>1561</v>
      </c>
    </row>
    <row r="1072" spans="1:12" ht="16.5" x14ac:dyDescent="0.35">
      <c r="A1072" s="109" t="str">
        <f>HYPERLINK("http://examplebusiness.comwebinar","http://examplebusiness.comwebinar")</f>
        <v>http://examplebusiness.comwebinar</v>
      </c>
      <c r="B1072" s="34">
        <v>4</v>
      </c>
      <c r="C1072" s="34">
        <v>0</v>
      </c>
      <c r="D1072" s="34">
        <v>0</v>
      </c>
      <c r="E1072" s="34">
        <v>0</v>
      </c>
      <c r="F1072" s="34">
        <v>301</v>
      </c>
      <c r="G1072" s="34">
        <v>0</v>
      </c>
      <c r="H1072" s="34"/>
      <c r="I1072" s="34" t="s">
        <v>1561</v>
      </c>
      <c r="J1072" s="34" t="s">
        <v>1561</v>
      </c>
      <c r="K1072" s="107" t="s">
        <v>1561</v>
      </c>
      <c r="L1072" s="34" t="s">
        <v>1561</v>
      </c>
    </row>
    <row r="1073" spans="1:12" ht="16.5" x14ac:dyDescent="0.35">
      <c r="A1073" s="109" t="str">
        <f>HYPERLINK("http://www.examplebusiness.comwebinar-2014-market-trends/","http://www.examplebusiness.comwebinar-2014-market-trends/")</f>
        <v>http://www.examplebusiness.comwebinar-2014-market-trends/</v>
      </c>
      <c r="B1073" s="34">
        <v>4</v>
      </c>
      <c r="C1073" s="34">
        <v>0</v>
      </c>
      <c r="D1073" s="34">
        <v>0</v>
      </c>
      <c r="E1073" s="34">
        <v>0</v>
      </c>
      <c r="F1073" s="34">
        <v>301</v>
      </c>
      <c r="G1073" s="34">
        <v>0</v>
      </c>
      <c r="H1073" s="34"/>
      <c r="I1073" s="34" t="s">
        <v>1561</v>
      </c>
      <c r="J1073" s="34" t="s">
        <v>1561</v>
      </c>
      <c r="K1073" s="107" t="s">
        <v>1561</v>
      </c>
      <c r="L1073" s="34" t="s">
        <v>1561</v>
      </c>
    </row>
    <row r="1074" spans="1:12" ht="16.5" x14ac:dyDescent="0.35">
      <c r="A1074" s="109" t="str">
        <f>HYPERLINK("http://examplebusiness.comwebinar-2014-market-trends/","http://examplebusiness.comwebinar-2014-market-trends/")</f>
        <v>http://examplebusiness.comwebinar-2014-market-trends/</v>
      </c>
      <c r="B1074" s="34">
        <v>4</v>
      </c>
      <c r="C1074" s="34">
        <v>0</v>
      </c>
      <c r="D1074" s="34">
        <v>0</v>
      </c>
      <c r="E1074" s="34">
        <v>0</v>
      </c>
      <c r="F1074" s="34">
        <v>301</v>
      </c>
      <c r="G1074" s="34">
        <v>0</v>
      </c>
      <c r="H1074" s="34"/>
      <c r="I1074" s="34" t="s">
        <v>1561</v>
      </c>
      <c r="J1074" s="34" t="s">
        <v>1561</v>
      </c>
      <c r="K1074" s="107" t="s">
        <v>1561</v>
      </c>
      <c r="L1074" s="34" t="s">
        <v>1561</v>
      </c>
    </row>
    <row r="1075" spans="1:12" ht="16.5" x14ac:dyDescent="0.35">
      <c r="A1075" s="109" t="str">
        <f>HYPERLINK("http://www.examplebusiness.comWebinars.aspx","http://www.examplebusiness.comWebinars.aspx")</f>
        <v>http://www.examplebusiness.comWebinars.aspx</v>
      </c>
      <c r="B1075" s="34">
        <v>4</v>
      </c>
      <c r="C1075" s="34">
        <v>0</v>
      </c>
      <c r="D1075" s="34">
        <v>0</v>
      </c>
      <c r="E1075" s="34">
        <v>0</v>
      </c>
      <c r="F1075" s="34">
        <v>301</v>
      </c>
      <c r="G1075" s="34">
        <v>0</v>
      </c>
      <c r="H1075" s="34"/>
      <c r="I1075" s="34" t="s">
        <v>1561</v>
      </c>
      <c r="J1075" s="34" t="s">
        <v>1561</v>
      </c>
      <c r="K1075" s="107" t="s">
        <v>1561</v>
      </c>
      <c r="L1075" s="34" t="s">
        <v>1561</v>
      </c>
    </row>
    <row r="1076" spans="1:12" ht="16.5" x14ac:dyDescent="0.35">
      <c r="A1076" s="109" t="str">
        <f>HYPERLINK("http://examplebusiness.comweekly-ecomonic-commentary/","http://examplebusiness.comweekly-ecomonic-commentary/")</f>
        <v>http://examplebusiness.comweekly-ecomonic-commentary/</v>
      </c>
      <c r="B1076" s="34">
        <v>4</v>
      </c>
      <c r="C1076" s="34">
        <v>0</v>
      </c>
      <c r="D1076" s="34">
        <v>0</v>
      </c>
      <c r="E1076" s="34">
        <v>0</v>
      </c>
      <c r="F1076" s="34">
        <v>301</v>
      </c>
      <c r="G1076" s="34">
        <v>0</v>
      </c>
      <c r="H1076" s="34"/>
      <c r="I1076" s="34" t="s">
        <v>1561</v>
      </c>
      <c r="J1076" s="34" t="s">
        <v>1561</v>
      </c>
      <c r="K1076" s="107" t="s">
        <v>1561</v>
      </c>
      <c r="L1076" s="34" t="s">
        <v>1561</v>
      </c>
    </row>
    <row r="1077" spans="1:12" ht="16.5" x14ac:dyDescent="0.35">
      <c r="A1077" s="109" t="str">
        <f>HYPERLINK("http://examplebusiness.comweekly-economic-commentary-08-18-14/","http://examplebusiness.comweekly-economic-commentary-08-18-14/")</f>
        <v>http://examplebusiness.comweekly-economic-commentary-08-18-14/</v>
      </c>
      <c r="B1077" s="34">
        <v>4</v>
      </c>
      <c r="C1077" s="34">
        <v>0</v>
      </c>
      <c r="D1077" s="34">
        <v>0</v>
      </c>
      <c r="E1077" s="34">
        <v>0</v>
      </c>
      <c r="F1077" s="34">
        <v>301</v>
      </c>
      <c r="G1077" s="34">
        <v>0</v>
      </c>
      <c r="H1077" s="34"/>
      <c r="I1077" s="34" t="s">
        <v>1561</v>
      </c>
      <c r="J1077" s="34" t="s">
        <v>1561</v>
      </c>
      <c r="K1077" s="107" t="s">
        <v>1561</v>
      </c>
      <c r="L1077" s="34" t="s">
        <v>1561</v>
      </c>
    </row>
    <row r="1078" spans="1:12" ht="16.5" x14ac:dyDescent="0.35">
      <c r="A1078" s="109" t="str">
        <f>HYPERLINK("http://examplebusiness.comweekly-economic-commentary-10-13-14/","http://examplebusiness.comweekly-economic-commentary-10-13-14/")</f>
        <v>http://examplebusiness.comweekly-economic-commentary-10-13-14/</v>
      </c>
      <c r="B1078" s="34">
        <v>4</v>
      </c>
      <c r="C1078" s="34">
        <v>0</v>
      </c>
      <c r="D1078" s="34">
        <v>0</v>
      </c>
      <c r="E1078" s="34">
        <v>0</v>
      </c>
      <c r="F1078" s="34">
        <v>301</v>
      </c>
      <c r="G1078" s="34">
        <v>0</v>
      </c>
      <c r="H1078" s="34"/>
      <c r="I1078" s="34" t="s">
        <v>1561</v>
      </c>
      <c r="J1078" s="34" t="s">
        <v>1561</v>
      </c>
      <c r="K1078" s="107" t="s">
        <v>1561</v>
      </c>
      <c r="L1078" s="34" t="s">
        <v>1561</v>
      </c>
    </row>
    <row r="1079" spans="1:12" ht="16.5" x14ac:dyDescent="0.35">
      <c r="A1079" s="109" t="str">
        <f>HYPERLINK("http://examplebusiness.comweekly-economic-commentary-12-15-14/","http://examplebusiness.comweekly-economic-commentary-12-15-14/")</f>
        <v>http://examplebusiness.comweekly-economic-commentary-12-15-14/</v>
      </c>
      <c r="B1079" s="34">
        <v>4</v>
      </c>
      <c r="C1079" s="34">
        <v>0</v>
      </c>
      <c r="D1079" s="34">
        <v>0</v>
      </c>
      <c r="E1079" s="34">
        <v>0</v>
      </c>
      <c r="F1079" s="34">
        <v>301</v>
      </c>
      <c r="G1079" s="34">
        <v>0</v>
      </c>
      <c r="H1079" s="34"/>
      <c r="I1079" s="34" t="s">
        <v>1561</v>
      </c>
      <c r="J1079" s="34" t="s">
        <v>1561</v>
      </c>
      <c r="K1079" s="107" t="s">
        <v>1561</v>
      </c>
      <c r="L1079" s="34" t="s">
        <v>1561</v>
      </c>
    </row>
    <row r="1080" spans="1:12" ht="16.5" x14ac:dyDescent="0.35">
      <c r="A1080" s="109" t="str">
        <f>HYPERLINK("http://examplebusiness.comweekly-economic-commentary-3/","http://examplebusiness.comweekly-economic-commentary-3/")</f>
        <v>http://examplebusiness.comweekly-economic-commentary-3/</v>
      </c>
      <c r="B1080" s="34">
        <v>4</v>
      </c>
      <c r="C1080" s="34">
        <v>0</v>
      </c>
      <c r="D1080" s="34">
        <v>0</v>
      </c>
      <c r="E1080" s="34">
        <v>0</v>
      </c>
      <c r="F1080" s="34">
        <v>301</v>
      </c>
      <c r="G1080" s="34">
        <v>0</v>
      </c>
      <c r="H1080" s="34"/>
      <c r="I1080" s="34" t="s">
        <v>1561</v>
      </c>
      <c r="J1080" s="34" t="s">
        <v>1561</v>
      </c>
      <c r="K1080" s="107" t="s">
        <v>1561</v>
      </c>
      <c r="L1080" s="34" t="s">
        <v>1561</v>
      </c>
    </row>
    <row r="1081" spans="1:12" ht="16.5" x14ac:dyDescent="0.35">
      <c r="A1081" s="109" t="str">
        <f>HYPERLINK("http://examplebusiness.comweekly-economic-commentary-4/","http://examplebusiness.comweekly-economic-commentary-4/")</f>
        <v>http://examplebusiness.comweekly-economic-commentary-4/</v>
      </c>
      <c r="B1081" s="34">
        <v>4</v>
      </c>
      <c r="C1081" s="34">
        <v>0</v>
      </c>
      <c r="D1081" s="34">
        <v>0</v>
      </c>
      <c r="E1081" s="34">
        <v>0</v>
      </c>
      <c r="F1081" s="34">
        <v>301</v>
      </c>
      <c r="G1081" s="34">
        <v>0</v>
      </c>
      <c r="H1081" s="34"/>
      <c r="I1081" s="34" t="s">
        <v>1561</v>
      </c>
      <c r="J1081" s="34" t="s">
        <v>1561</v>
      </c>
      <c r="K1081" s="107" t="s">
        <v>1561</v>
      </c>
      <c r="L1081" s="34" t="s">
        <v>1561</v>
      </c>
    </row>
    <row r="1082" spans="1:12" ht="16.5" x14ac:dyDescent="0.35">
      <c r="A1082" s="109" t="str">
        <f>HYPERLINK("http://examplebusiness.comweekly-market-commentary-08-11-14/","http://examplebusiness.comweekly-market-commentary-08-11-14/")</f>
        <v>http://examplebusiness.comweekly-market-commentary-08-11-14/</v>
      </c>
      <c r="B1082" s="34">
        <v>4</v>
      </c>
      <c r="C1082" s="34">
        <v>0</v>
      </c>
      <c r="D1082" s="34">
        <v>0</v>
      </c>
      <c r="E1082" s="34">
        <v>0</v>
      </c>
      <c r="F1082" s="34">
        <v>301</v>
      </c>
      <c r="G1082" s="34">
        <v>0</v>
      </c>
      <c r="H1082" s="34"/>
      <c r="I1082" s="34" t="s">
        <v>1561</v>
      </c>
      <c r="J1082" s="34" t="s">
        <v>1561</v>
      </c>
      <c r="K1082" s="107" t="s">
        <v>1561</v>
      </c>
      <c r="L1082" s="34" t="s">
        <v>1561</v>
      </c>
    </row>
    <row r="1083" spans="1:12" ht="16.5" x14ac:dyDescent="0.35">
      <c r="A1083" s="109" t="str">
        <f>HYPERLINK("http://examplebusiness.comweekly-market-commentary-08-18-14/","http://examplebusiness.comweekly-market-commentary-08-18-14/")</f>
        <v>http://examplebusiness.comweekly-market-commentary-08-18-14/</v>
      </c>
      <c r="B1083" s="34">
        <v>4</v>
      </c>
      <c r="C1083" s="34">
        <v>0</v>
      </c>
      <c r="D1083" s="34">
        <v>0</v>
      </c>
      <c r="E1083" s="34">
        <v>0</v>
      </c>
      <c r="F1083" s="34">
        <v>301</v>
      </c>
      <c r="G1083" s="34">
        <v>0</v>
      </c>
      <c r="H1083" s="34"/>
      <c r="I1083" s="34" t="s">
        <v>1561</v>
      </c>
      <c r="J1083" s="34" t="s">
        <v>1561</v>
      </c>
      <c r="K1083" s="107" t="s">
        <v>1561</v>
      </c>
      <c r="L1083" s="34" t="s">
        <v>1561</v>
      </c>
    </row>
    <row r="1084" spans="1:12" ht="16.5" x14ac:dyDescent="0.35">
      <c r="A1084" s="109" t="str">
        <f>HYPERLINK("http://examplebusiness.comweekly-market-commentary-09-15-14/","http://examplebusiness.comweekly-market-commentary-09-15-14/")</f>
        <v>http://examplebusiness.comweekly-market-commentary-09-15-14/</v>
      </c>
      <c r="B1084" s="34">
        <v>4</v>
      </c>
      <c r="C1084" s="34">
        <v>0</v>
      </c>
      <c r="D1084" s="34">
        <v>0</v>
      </c>
      <c r="E1084" s="34">
        <v>0</v>
      </c>
      <c r="F1084" s="34">
        <v>301</v>
      </c>
      <c r="G1084" s="34">
        <v>0</v>
      </c>
      <c r="H1084" s="34"/>
      <c r="I1084" s="34" t="s">
        <v>1561</v>
      </c>
      <c r="J1084" s="34" t="s">
        <v>1561</v>
      </c>
      <c r="K1084" s="107" t="s">
        <v>1561</v>
      </c>
      <c r="L1084" s="34" t="s">
        <v>1561</v>
      </c>
    </row>
    <row r="1085" spans="1:12" ht="16.5" x14ac:dyDescent="0.35">
      <c r="A1085" s="109" t="str">
        <f>HYPERLINK("http://examplebusiness.comweekly-market-commentary-10-13-14/","http://examplebusiness.comweekly-market-commentary-10-13-14/")</f>
        <v>http://examplebusiness.comweekly-market-commentary-10-13-14/</v>
      </c>
      <c r="B1085" s="34">
        <v>4</v>
      </c>
      <c r="C1085" s="34">
        <v>0</v>
      </c>
      <c r="D1085" s="34">
        <v>0</v>
      </c>
      <c r="E1085" s="34">
        <v>0</v>
      </c>
      <c r="F1085" s="34">
        <v>301</v>
      </c>
      <c r="G1085" s="34">
        <v>0</v>
      </c>
      <c r="H1085" s="34"/>
      <c r="I1085" s="34" t="s">
        <v>1561</v>
      </c>
      <c r="J1085" s="34" t="s">
        <v>1561</v>
      </c>
      <c r="K1085" s="107" t="s">
        <v>1561</v>
      </c>
      <c r="L1085" s="34" t="s">
        <v>1561</v>
      </c>
    </row>
    <row r="1086" spans="1:12" ht="16.5" x14ac:dyDescent="0.35">
      <c r="A1086" s="109" t="str">
        <f>HYPERLINK("http://examplebusiness.comweekly-market-commentary-12-15-14/","http://examplebusiness.comweekly-market-commentary-12-15-14/")</f>
        <v>http://examplebusiness.comweekly-market-commentary-12-15-14/</v>
      </c>
      <c r="B1086" s="34">
        <v>4</v>
      </c>
      <c r="C1086" s="34">
        <v>0</v>
      </c>
      <c r="D1086" s="34">
        <v>0</v>
      </c>
      <c r="E1086" s="34">
        <v>0</v>
      </c>
      <c r="F1086" s="34">
        <v>301</v>
      </c>
      <c r="G1086" s="34">
        <v>0</v>
      </c>
      <c r="H1086" s="34"/>
      <c r="I1086" s="34" t="s">
        <v>1561</v>
      </c>
      <c r="J1086" s="34" t="s">
        <v>1561</v>
      </c>
      <c r="K1086" s="107" t="s">
        <v>1561</v>
      </c>
      <c r="L1086" s="34" t="s">
        <v>1561</v>
      </c>
    </row>
    <row r="1087" spans="1:12" ht="16.5" x14ac:dyDescent="0.35">
      <c r="A1087" s="109" t="str">
        <f>HYPERLINK("http://examplebusiness.comweekly-market-commentary-2/","http://examplebusiness.comweekly-market-commentary-2/")</f>
        <v>http://examplebusiness.comweekly-market-commentary-2/</v>
      </c>
      <c r="B1087" s="34">
        <v>4</v>
      </c>
      <c r="C1087" s="34">
        <v>0</v>
      </c>
      <c r="D1087" s="34">
        <v>0</v>
      </c>
      <c r="E1087" s="34">
        <v>0</v>
      </c>
      <c r="F1087" s="34">
        <v>301</v>
      </c>
      <c r="G1087" s="34">
        <v>0</v>
      </c>
      <c r="H1087" s="34"/>
      <c r="I1087" s="34" t="s">
        <v>1561</v>
      </c>
      <c r="J1087" s="34" t="s">
        <v>1561</v>
      </c>
      <c r="K1087" s="107" t="s">
        <v>1561</v>
      </c>
      <c r="L1087" s="34" t="s">
        <v>1561</v>
      </c>
    </row>
    <row r="1088" spans="1:12" ht="16.5" x14ac:dyDescent="0.35">
      <c r="A1088" s="109" t="str">
        <f>HYPERLINK("http://examplebusiness.comweekly-market-commentary-3/","http://examplebusiness.comweekly-market-commentary-3/")</f>
        <v>http://examplebusiness.comweekly-market-commentary-3/</v>
      </c>
      <c r="B1088" s="34">
        <v>4</v>
      </c>
      <c r="C1088" s="34">
        <v>0</v>
      </c>
      <c r="D1088" s="34">
        <v>0</v>
      </c>
      <c r="E1088" s="34">
        <v>0</v>
      </c>
      <c r="F1088" s="34">
        <v>301</v>
      </c>
      <c r="G1088" s="34">
        <v>0</v>
      </c>
      <c r="H1088" s="34"/>
      <c r="I1088" s="34" t="s">
        <v>1561</v>
      </c>
      <c r="J1088" s="34" t="s">
        <v>1561</v>
      </c>
      <c r="K1088" s="107" t="s">
        <v>1561</v>
      </c>
      <c r="L1088" s="34" t="s">
        <v>1561</v>
      </c>
    </row>
    <row r="1089" spans="1:12" ht="16.5" x14ac:dyDescent="0.35">
      <c r="A1089" s="109" t="str">
        <f>HYPERLINK("http://examplebusiness.comweekly-market-commentary-4/","http://examplebusiness.comweekly-market-commentary-4/")</f>
        <v>http://examplebusiness.comweekly-market-commentary-4/</v>
      </c>
      <c r="B1089" s="34">
        <v>4</v>
      </c>
      <c r="C1089" s="34">
        <v>0</v>
      </c>
      <c r="D1089" s="34">
        <v>0</v>
      </c>
      <c r="E1089" s="34">
        <v>0</v>
      </c>
      <c r="F1089" s="34">
        <v>301</v>
      </c>
      <c r="G1089" s="34">
        <v>0</v>
      </c>
      <c r="H1089" s="34"/>
      <c r="I1089" s="34" t="s">
        <v>1561</v>
      </c>
      <c r="J1089" s="34" t="s">
        <v>1561</v>
      </c>
      <c r="K1089" s="107" t="s">
        <v>1561</v>
      </c>
      <c r="L1089" s="34" t="s">
        <v>1561</v>
      </c>
    </row>
    <row r="1090" spans="1:12" ht="16.5" x14ac:dyDescent="0.35">
      <c r="A1090" s="109" t="str">
        <f>HYPERLINK("http://examplebusiness.comwhy-do-you-need-an-estate-plan/","http://examplebusiness.comwhy-do-you-need-an-estate-plan/")</f>
        <v>http://examplebusiness.comwhy-do-you-need-an-estate-plan/</v>
      </c>
      <c r="B1090" s="34">
        <v>4</v>
      </c>
      <c r="C1090" s="34">
        <v>0</v>
      </c>
      <c r="D1090" s="34">
        <v>0</v>
      </c>
      <c r="E1090" s="34">
        <v>0</v>
      </c>
      <c r="F1090" s="34">
        <v>301</v>
      </c>
      <c r="G1090" s="34">
        <v>0</v>
      </c>
      <c r="H1090" s="34"/>
      <c r="I1090" s="34" t="s">
        <v>1561</v>
      </c>
      <c r="J1090" s="34" t="s">
        <v>1561</v>
      </c>
      <c r="K1090" s="107" t="s">
        <v>1561</v>
      </c>
      <c r="L1090" s="34" t="s">
        <v>1561</v>
      </c>
    </row>
    <row r="1091" spans="1:12" ht="16.5" x14ac:dyDescent="0.35">
      <c r="A1091" s="109" t="str">
        <f>HYPERLINK("http://www.examplebusiness.comWhy_Were_Different.aspx","http://www.examplebusiness.comWhy_Were_Different.aspx")</f>
        <v>http://www.examplebusiness.comWhy_Were_Different.aspx</v>
      </c>
      <c r="B1091" s="34">
        <v>4</v>
      </c>
      <c r="C1091" s="34">
        <v>0</v>
      </c>
      <c r="D1091" s="34">
        <v>0</v>
      </c>
      <c r="E1091" s="34">
        <v>0</v>
      </c>
      <c r="F1091" s="34">
        <v>301</v>
      </c>
      <c r="G1091" s="34">
        <v>0</v>
      </c>
      <c r="H1091" s="34"/>
      <c r="I1091" s="34" t="s">
        <v>1561</v>
      </c>
      <c r="J1091" s="34" t="s">
        <v>1561</v>
      </c>
      <c r="K1091" s="107" t="s">
        <v>1561</v>
      </c>
      <c r="L1091" s="34" t="s">
        <v>1561</v>
      </c>
    </row>
    <row r="1092" spans="1:12" ht="16.5" x14ac:dyDescent="0.35">
      <c r="A1092" s="109" t="str">
        <f>HYPERLINK("http://www.examplebusiness.comhome-version-1/feed/","http://www.examplebusiness.comhome-version-1/feed/")</f>
        <v>http://www.examplebusiness.comhome-version-1/feed/</v>
      </c>
      <c r="B1092" s="34">
        <v>4</v>
      </c>
      <c r="C1092" s="34">
        <v>0</v>
      </c>
      <c r="D1092" s="34">
        <v>0</v>
      </c>
      <c r="E1092" s="34">
        <v>0</v>
      </c>
      <c r="F1092" s="34">
        <v>301</v>
      </c>
      <c r="G1092" s="34">
        <v>0</v>
      </c>
      <c r="H1092" s="34"/>
      <c r="I1092" s="34" t="s">
        <v>1561</v>
      </c>
      <c r="J1092" s="34" t="s">
        <v>1561</v>
      </c>
      <c r="K1092" s="107" t="s">
        <v>1561</v>
      </c>
      <c r="L1092" s="34" t="s">
        <v>1561</v>
      </c>
    </row>
    <row r="1093" spans="1:12" ht="16.5" x14ac:dyDescent="0.35">
      <c r="A1093" s="109" t="str">
        <f>HYPERLINK("http://examplebusiness.comhome-version-1/feed/","http://examplebusiness.comhome-version-1/feed/")</f>
        <v>http://examplebusiness.comhome-version-1/feed/</v>
      </c>
      <c r="B1093" s="34">
        <v>4</v>
      </c>
      <c r="C1093" s="34">
        <v>0</v>
      </c>
      <c r="D1093" s="34">
        <v>0</v>
      </c>
      <c r="E1093" s="34">
        <v>0</v>
      </c>
      <c r="F1093" s="34">
        <v>301</v>
      </c>
      <c r="G1093" s="34">
        <v>0</v>
      </c>
      <c r="H1093" s="34"/>
      <c r="I1093" s="34" t="s">
        <v>1561</v>
      </c>
      <c r="J1093" s="34" t="s">
        <v>1561</v>
      </c>
      <c r="K1093" s="107" t="s">
        <v>1561</v>
      </c>
      <c r="L1093" s="34" t="s">
        <v>1561</v>
      </c>
    </row>
    <row r="1094" spans="1:12" ht="16.5" x14ac:dyDescent="0.35">
      <c r="A1094" s="109" t="str">
        <f>HYPERLINK("http://examplebusiness.comoil-prices-why-the-drop/feed/","http://examplebusiness.comoil-prices-why-the-drop/feed/")</f>
        <v>http://examplebusiness.comoil-prices-why-the-drop/feed/</v>
      </c>
      <c r="B1094" s="34">
        <v>4</v>
      </c>
      <c r="C1094" s="34">
        <v>0</v>
      </c>
      <c r="D1094" s="34">
        <v>0</v>
      </c>
      <c r="E1094" s="34">
        <v>0</v>
      </c>
      <c r="F1094" s="34">
        <v>301</v>
      </c>
      <c r="G1094" s="34">
        <v>0</v>
      </c>
      <c r="H1094" s="34"/>
      <c r="I1094" s="34" t="s">
        <v>1561</v>
      </c>
      <c r="J1094" s="34" t="s">
        <v>1561</v>
      </c>
      <c r="K1094" s="107" t="s">
        <v>1561</v>
      </c>
      <c r="L1094" s="34" t="s">
        <v>1561</v>
      </c>
    </row>
    <row r="1095" spans="1:12" ht="16.5" x14ac:dyDescent="0.35">
      <c r="A1095" s="109" t="str">
        <f>HYPERLINK("http://www.examplebusiness.com2010","http://www.examplebusiness.com2010")</f>
        <v>http://www.examplebusiness.com2010</v>
      </c>
      <c r="B1095" s="34">
        <v>4</v>
      </c>
      <c r="C1095" s="34">
        <v>0</v>
      </c>
      <c r="D1095" s="34">
        <v>0</v>
      </c>
      <c r="E1095" s="34">
        <v>0</v>
      </c>
      <c r="F1095" s="34">
        <v>301</v>
      </c>
      <c r="G1095" s="34">
        <v>0</v>
      </c>
      <c r="H1095" s="34"/>
      <c r="I1095" s="34" t="s">
        <v>1561</v>
      </c>
      <c r="J1095" s="34" t="s">
        <v>1561</v>
      </c>
      <c r="K1095" s="107" t="s">
        <v>1561</v>
      </c>
      <c r="L1095" s="34" t="s">
        <v>1561</v>
      </c>
    </row>
    <row r="1096" spans="1:12" ht="16.5" x14ac:dyDescent="0.35">
      <c r="A1096" s="109" t="str">
        <f>HYPERLINK("http://www.examplebusiness.comabout","http://www.examplebusiness.comabout")</f>
        <v>http://www.examplebusiness.comabout</v>
      </c>
      <c r="B1096" s="34">
        <v>4</v>
      </c>
      <c r="C1096" s="34">
        <v>0</v>
      </c>
      <c r="D1096" s="34">
        <v>0</v>
      </c>
      <c r="E1096" s="34">
        <v>0</v>
      </c>
      <c r="F1096" s="34">
        <v>301</v>
      </c>
      <c r="G1096" s="34">
        <v>0</v>
      </c>
      <c r="H1096" s="34"/>
      <c r="I1096" s="34" t="s">
        <v>1561</v>
      </c>
      <c r="J1096" s="34" t="s">
        <v>1561</v>
      </c>
      <c r="K1096" s="107" t="s">
        <v>1561</v>
      </c>
      <c r="L1096" s="34" t="s">
        <v>1561</v>
      </c>
    </row>
    <row r="1097" spans="1:12" ht="16.5" x14ac:dyDescent="0.35">
      <c r="A1097" s="109" t="str">
        <f>HYPERLINK("http://www.examplebusiness.comblog","http://www.examplebusiness.comblog")</f>
        <v>http://www.examplebusiness.comblog</v>
      </c>
      <c r="B1097" s="34">
        <v>4</v>
      </c>
      <c r="C1097" s="34">
        <v>0</v>
      </c>
      <c r="D1097" s="34">
        <v>0</v>
      </c>
      <c r="E1097" s="34">
        <v>0</v>
      </c>
      <c r="F1097" s="34">
        <v>301</v>
      </c>
      <c r="G1097" s="34">
        <v>0</v>
      </c>
      <c r="H1097" s="34"/>
      <c r="I1097" s="34" t="s">
        <v>1561</v>
      </c>
      <c r="J1097" s="34" t="s">
        <v>1561</v>
      </c>
      <c r="K1097" s="107" t="s">
        <v>1561</v>
      </c>
      <c r="L1097" s="34" t="s">
        <v>1561</v>
      </c>
    </row>
    <row r="1098" spans="1:12" ht="16.5" x14ac:dyDescent="0.35">
      <c r="A1098" s="109" t="str">
        <f>HYPERLINK("http://www.examplebusiness.comcontact","http://www.examplebusiness.comcontact")</f>
        <v>http://www.examplebusiness.comcontact</v>
      </c>
      <c r="B1098" s="34">
        <v>4</v>
      </c>
      <c r="C1098" s="34">
        <v>0</v>
      </c>
      <c r="D1098" s="34">
        <v>0</v>
      </c>
      <c r="E1098" s="34">
        <v>0</v>
      </c>
      <c r="F1098" s="34">
        <v>301</v>
      </c>
      <c r="G1098" s="34">
        <v>0</v>
      </c>
      <c r="H1098" s="34"/>
      <c r="I1098" s="34" t="s">
        <v>1561</v>
      </c>
      <c r="J1098" s="34" t="s">
        <v>1561</v>
      </c>
      <c r="K1098" s="107" t="s">
        <v>1561</v>
      </c>
      <c r="L1098" s="34" t="s">
        <v>1561</v>
      </c>
    </row>
    <row r="1099" spans="1:12" ht="16.5" x14ac:dyDescent="0.35">
      <c r="A1099" s="109" t="str">
        <f>HYPERLINK("http://www.examplebusiness.comevents","http://www.examplebusiness.comevents")</f>
        <v>http://www.examplebusiness.comevents</v>
      </c>
      <c r="B1099" s="34">
        <v>4</v>
      </c>
      <c r="C1099" s="34">
        <v>0</v>
      </c>
      <c r="D1099" s="34">
        <v>0</v>
      </c>
      <c r="E1099" s="34">
        <v>0</v>
      </c>
      <c r="F1099" s="34">
        <v>301</v>
      </c>
      <c r="G1099" s="34">
        <v>0</v>
      </c>
      <c r="H1099" s="34"/>
      <c r="I1099" s="34" t="s">
        <v>1561</v>
      </c>
      <c r="J1099" s="34" t="s">
        <v>1561</v>
      </c>
      <c r="K1099" s="107" t="s">
        <v>1561</v>
      </c>
      <c r="L1099" s="34" t="s">
        <v>1561</v>
      </c>
    </row>
    <row r="1100" spans="1:12" ht="16.5" x14ac:dyDescent="0.35">
      <c r="A1100" s="109" t="str">
        <f>HYPERLINK("http://examplebusiness.com%2fHome.aspx%3f","http://examplebusiness.com%2fHome.aspx%3f")</f>
        <v>http://examplebusiness.com%2fHome.aspx%3f</v>
      </c>
      <c r="B1100" s="34">
        <v>4</v>
      </c>
      <c r="C1100" s="34">
        <v>0</v>
      </c>
      <c r="D1100" s="34">
        <v>0</v>
      </c>
      <c r="E1100" s="34">
        <v>0</v>
      </c>
      <c r="F1100" s="34">
        <v>301</v>
      </c>
      <c r="G1100" s="34">
        <v>0</v>
      </c>
      <c r="H1100" s="34"/>
      <c r="I1100" s="34" t="s">
        <v>1561</v>
      </c>
      <c r="J1100" s="34" t="s">
        <v>1561</v>
      </c>
      <c r="K1100" s="107" t="s">
        <v>1561</v>
      </c>
      <c r="L1100" s="34" t="s">
        <v>1561</v>
      </c>
    </row>
    <row r="1101" spans="1:12" ht="16.5" x14ac:dyDescent="0.35">
      <c r="A1101" s="109" t="str">
        <f>HYPERLINK("http://www.examplebusiness.comp/business-retirement-plan-consulting","http://www.examplebusiness.comp/business-retirement-plan-consulting")</f>
        <v>http://www.examplebusiness.comp/business-retirement-plan-consulting</v>
      </c>
      <c r="B1101" s="34">
        <v>4</v>
      </c>
      <c r="C1101" s="34">
        <v>0</v>
      </c>
      <c r="D1101" s="34">
        <v>0</v>
      </c>
      <c r="E1101" s="34">
        <v>0</v>
      </c>
      <c r="F1101" s="34">
        <v>301</v>
      </c>
      <c r="G1101" s="34">
        <v>0</v>
      </c>
      <c r="H1101" s="34"/>
      <c r="I1101" s="34" t="s">
        <v>1561</v>
      </c>
      <c r="J1101" s="34" t="s">
        <v>1561</v>
      </c>
      <c r="K1101" s="107" t="s">
        <v>1561</v>
      </c>
      <c r="L1101" s="34" t="s">
        <v>1561</v>
      </c>
    </row>
    <row r="1102" spans="1:12" ht="16.5" x14ac:dyDescent="0.35">
      <c r="A1102" s="109" t="str">
        <f>HYPERLINK("http://www.examplebusiness.comp/client-community","http://www.examplebusiness.comp/client-community")</f>
        <v>http://www.examplebusiness.comp/client-community</v>
      </c>
      <c r="B1102" s="34">
        <v>4</v>
      </c>
      <c r="C1102" s="34">
        <v>0</v>
      </c>
      <c r="D1102" s="34">
        <v>0</v>
      </c>
      <c r="E1102" s="34">
        <v>0</v>
      </c>
      <c r="F1102" s="34">
        <v>301</v>
      </c>
      <c r="G1102" s="34">
        <v>0</v>
      </c>
      <c r="H1102" s="34"/>
      <c r="I1102" s="34" t="s">
        <v>1561</v>
      </c>
      <c r="J1102" s="34" t="s">
        <v>1561</v>
      </c>
      <c r="K1102" s="107" t="s">
        <v>1561</v>
      </c>
      <c r="L1102" s="34" t="s">
        <v>1561</v>
      </c>
    </row>
    <row r="1103" spans="1:12" ht="16.5" x14ac:dyDescent="0.35">
      <c r="A1103" s="109" t="str">
        <f>HYPERLINK("http://www.examplebusiness.comp/for-individuals","http://www.examplebusiness.comp/for-individuals")</f>
        <v>http://www.examplebusiness.comp/for-individuals</v>
      </c>
      <c r="B1103" s="34">
        <v>4</v>
      </c>
      <c r="C1103" s="34">
        <v>0</v>
      </c>
      <c r="D1103" s="34">
        <v>0</v>
      </c>
      <c r="E1103" s="34">
        <v>0</v>
      </c>
      <c r="F1103" s="34">
        <v>301</v>
      </c>
      <c r="G1103" s="34">
        <v>0</v>
      </c>
      <c r="H1103" s="34"/>
      <c r="I1103" s="34" t="s">
        <v>1561</v>
      </c>
      <c r="J1103" s="34" t="s">
        <v>1561</v>
      </c>
      <c r="K1103" s="107" t="s">
        <v>1561</v>
      </c>
      <c r="L1103" s="34" t="s">
        <v>1561</v>
      </c>
    </row>
    <row r="1104" spans="1:12" ht="16.5" x14ac:dyDescent="0.35">
      <c r="A1104" s="109" t="str">
        <f>HYPERLINK("http://www.examplebusiness.comp/fox-9-tv-interviews","http://www.examplebusiness.comp/fox-9-tv-interviews")</f>
        <v>http://www.examplebusiness.comp/fox-9-tv-interviews</v>
      </c>
      <c r="B1104" s="34">
        <v>4</v>
      </c>
      <c r="C1104" s="34">
        <v>0</v>
      </c>
      <c r="D1104" s="34">
        <v>0</v>
      </c>
      <c r="E1104" s="34">
        <v>0</v>
      </c>
      <c r="F1104" s="34">
        <v>301</v>
      </c>
      <c r="G1104" s="34">
        <v>0</v>
      </c>
      <c r="H1104" s="34"/>
      <c r="I1104" s="34" t="s">
        <v>1561</v>
      </c>
      <c r="J1104" s="34" t="s">
        <v>1561</v>
      </c>
      <c r="K1104" s="107" t="s">
        <v>1561</v>
      </c>
      <c r="L1104" s="34" t="s">
        <v>1561</v>
      </c>
    </row>
    <row r="1105" spans="1:12" ht="16.5" x14ac:dyDescent="0.35">
      <c r="A1105" s="109" t="str">
        <f>HYPERLINK("http://www.examplebusiness.comp/giving-back","http://www.examplebusiness.comp/giving-back")</f>
        <v>http://www.examplebusiness.comp/giving-back</v>
      </c>
      <c r="B1105" s="34">
        <v>4</v>
      </c>
      <c r="C1105" s="34">
        <v>0</v>
      </c>
      <c r="D1105" s="34">
        <v>0</v>
      </c>
      <c r="E1105" s="34">
        <v>0</v>
      </c>
      <c r="F1105" s="34">
        <v>301</v>
      </c>
      <c r="G1105" s="34">
        <v>0</v>
      </c>
      <c r="H1105" s="34"/>
      <c r="I1105" s="34" t="s">
        <v>1561</v>
      </c>
      <c r="J1105" s="34" t="s">
        <v>1561</v>
      </c>
      <c r="K1105" s="107" t="s">
        <v>1561</v>
      </c>
      <c r="L1105" s="34" t="s">
        <v>1561</v>
      </c>
    </row>
    <row r="1106" spans="1:12" ht="16.5" x14ac:dyDescent="0.35">
      <c r="A1106" s="109" t="str">
        <f>HYPERLINK("http://www.examplebusiness.comp/webinars","http://www.examplebusiness.comp/webinars")</f>
        <v>http://www.examplebusiness.comp/webinars</v>
      </c>
      <c r="B1106" s="34">
        <v>4</v>
      </c>
      <c r="C1106" s="34">
        <v>0</v>
      </c>
      <c r="D1106" s="34">
        <v>0</v>
      </c>
      <c r="E1106" s="34">
        <v>0</v>
      </c>
      <c r="F1106" s="34">
        <v>301</v>
      </c>
      <c r="G1106" s="34">
        <v>0</v>
      </c>
      <c r="H1106" s="34"/>
      <c r="I1106" s="34" t="s">
        <v>1561</v>
      </c>
      <c r="J1106" s="34" t="s">
        <v>1561</v>
      </c>
      <c r="K1106" s="107" t="s">
        <v>1561</v>
      </c>
      <c r="L1106" s="34" t="s">
        <v>1561</v>
      </c>
    </row>
    <row r="1107" spans="1:12" ht="16.5" x14ac:dyDescent="0.35">
      <c r="A1107" s="109" t="str">
        <f>HYPERLINK("http://www.examplebusiness.comresource-center","http://www.examplebusiness.comresource-center")</f>
        <v>http://www.examplebusiness.comresource-center</v>
      </c>
      <c r="B1107" s="34">
        <v>4</v>
      </c>
      <c r="C1107" s="34">
        <v>0</v>
      </c>
      <c r="D1107" s="34">
        <v>0</v>
      </c>
      <c r="E1107" s="34">
        <v>0</v>
      </c>
      <c r="F1107" s="34">
        <v>301</v>
      </c>
      <c r="G1107" s="34">
        <v>0</v>
      </c>
      <c r="H1107" s="34"/>
      <c r="I1107" s="34" t="s">
        <v>1561</v>
      </c>
      <c r="J1107" s="34" t="s">
        <v>1561</v>
      </c>
      <c r="K1107" s="107" t="s">
        <v>1561</v>
      </c>
      <c r="L1107" s="34" t="s">
        <v>1561</v>
      </c>
    </row>
    <row r="1108" spans="1:12" ht="16.5" x14ac:dyDescent="0.35">
      <c r="A1108" s="109" t="str">
        <f>HYPERLINK("http://www.examplebusiness.comresource-center/articles","http://www.examplebusiness.comresource-center/articles")</f>
        <v>http://www.examplebusiness.comresource-center/articles</v>
      </c>
      <c r="B1108" s="34">
        <v>4</v>
      </c>
      <c r="C1108" s="34">
        <v>0</v>
      </c>
      <c r="D1108" s="34">
        <v>0</v>
      </c>
      <c r="E1108" s="34">
        <v>0</v>
      </c>
      <c r="F1108" s="34">
        <v>301</v>
      </c>
      <c r="G1108" s="34">
        <v>0</v>
      </c>
      <c r="H1108" s="34"/>
      <c r="I1108" s="34" t="s">
        <v>1561</v>
      </c>
      <c r="J1108" s="34" t="s">
        <v>1561</v>
      </c>
      <c r="K1108" s="107" t="s">
        <v>1561</v>
      </c>
      <c r="L1108" s="34" t="s">
        <v>1561</v>
      </c>
    </row>
    <row r="1109" spans="1:12" ht="16.5" x14ac:dyDescent="0.35">
      <c r="A1109" s="109" t="str">
        <f>HYPERLINK("http://www.examplebusiness.comresource-center/calculators","http://www.examplebusiness.comresource-center/calculators")</f>
        <v>http://www.examplebusiness.comresource-center/calculators</v>
      </c>
      <c r="B1109" s="34">
        <v>4</v>
      </c>
      <c r="C1109" s="34">
        <v>0</v>
      </c>
      <c r="D1109" s="34">
        <v>0</v>
      </c>
      <c r="E1109" s="34">
        <v>0</v>
      </c>
      <c r="F1109" s="34">
        <v>301</v>
      </c>
      <c r="G1109" s="34">
        <v>0</v>
      </c>
      <c r="H1109" s="34"/>
      <c r="I1109" s="34" t="s">
        <v>1561</v>
      </c>
      <c r="J1109" s="34" t="s">
        <v>1561</v>
      </c>
      <c r="K1109" s="107" t="s">
        <v>1561</v>
      </c>
      <c r="L1109" s="34" t="s">
        <v>1561</v>
      </c>
    </row>
    <row r="1110" spans="1:12" ht="16.5" x14ac:dyDescent="0.35">
      <c r="A1110" s="109" t="str">
        <f>HYPERLINK("http://www.examplebusiness.comresource-center/estate","http://www.examplebusiness.comresource-center/estate")</f>
        <v>http://www.examplebusiness.comresource-center/estate</v>
      </c>
      <c r="B1110" s="34">
        <v>4</v>
      </c>
      <c r="C1110" s="34">
        <v>0</v>
      </c>
      <c r="D1110" s="34">
        <v>0</v>
      </c>
      <c r="E1110" s="34">
        <v>0</v>
      </c>
      <c r="F1110" s="34">
        <v>301</v>
      </c>
      <c r="G1110" s="34">
        <v>0</v>
      </c>
      <c r="H1110" s="34"/>
      <c r="I1110" s="34" t="s">
        <v>1561</v>
      </c>
      <c r="J1110" s="34" t="s">
        <v>1561</v>
      </c>
      <c r="K1110" s="107" t="s">
        <v>1561</v>
      </c>
      <c r="L1110" s="34" t="s">
        <v>1561</v>
      </c>
    </row>
    <row r="1111" spans="1:12" ht="16.5" x14ac:dyDescent="0.35">
      <c r="A1111" s="109" t="str">
        <f>HYPERLINK("http://www.examplebusiness.comresource-center/estate/exit-strategies-of-the-rich-and-famous","http://www.examplebusiness.comresource-center/estate/exit-strategies-of-the-rich-and-famous")</f>
        <v>http://www.examplebusiness.comresource-center/estate/exit-strategies-of-the-rich-and-famous</v>
      </c>
      <c r="B1111" s="34">
        <v>4</v>
      </c>
      <c r="C1111" s="34">
        <v>0</v>
      </c>
      <c r="D1111" s="34">
        <v>0</v>
      </c>
      <c r="E1111" s="34">
        <v>0</v>
      </c>
      <c r="F1111" s="34">
        <v>301</v>
      </c>
      <c r="G1111" s="34">
        <v>0</v>
      </c>
      <c r="H1111" s="34"/>
      <c r="I1111" s="34" t="s">
        <v>1561</v>
      </c>
      <c r="J1111" s="34" t="s">
        <v>1561</v>
      </c>
      <c r="K1111" s="107" t="s">
        <v>1561</v>
      </c>
      <c r="L1111" s="34" t="s">
        <v>1561</v>
      </c>
    </row>
    <row r="1112" spans="1:12" ht="16.5" x14ac:dyDescent="0.35">
      <c r="A1112" s="109" t="str">
        <f>HYPERLINK("http://www.examplebusiness.comresource-center/estate/principles-of-preserving-wealth","http://www.examplebusiness.comresource-center/estate/principles-of-preserving-wealth")</f>
        <v>http://www.examplebusiness.comresource-center/estate/principles-of-preserving-wealth</v>
      </c>
      <c r="B1112" s="34">
        <v>4</v>
      </c>
      <c r="C1112" s="34">
        <v>0</v>
      </c>
      <c r="D1112" s="34">
        <v>0</v>
      </c>
      <c r="E1112" s="34">
        <v>0</v>
      </c>
      <c r="F1112" s="34">
        <v>301</v>
      </c>
      <c r="G1112" s="34">
        <v>0</v>
      </c>
      <c r="H1112" s="34"/>
      <c r="I1112" s="34" t="s">
        <v>1561</v>
      </c>
      <c r="J1112" s="34" t="s">
        <v>1561</v>
      </c>
      <c r="K1112" s="107" t="s">
        <v>1561</v>
      </c>
      <c r="L1112" s="34" t="s">
        <v>1561</v>
      </c>
    </row>
    <row r="1113" spans="1:12" ht="16.5" x14ac:dyDescent="0.35">
      <c r="A1113" s="109" t="str">
        <f>HYPERLINK("http://www.examplebusiness.comresource-center/insurance","http://www.examplebusiness.comresource-center/insurance")</f>
        <v>http://www.examplebusiness.comresource-center/insurance</v>
      </c>
      <c r="B1113" s="34">
        <v>4</v>
      </c>
      <c r="C1113" s="34">
        <v>0</v>
      </c>
      <c r="D1113" s="34">
        <v>0</v>
      </c>
      <c r="E1113" s="34">
        <v>0</v>
      </c>
      <c r="F1113" s="34">
        <v>301</v>
      </c>
      <c r="G1113" s="34">
        <v>0</v>
      </c>
      <c r="H1113" s="34"/>
      <c r="I1113" s="34" t="s">
        <v>1561</v>
      </c>
      <c r="J1113" s="34" t="s">
        <v>1561</v>
      </c>
      <c r="K1113" s="107" t="s">
        <v>1561</v>
      </c>
      <c r="L1113" s="34" t="s">
        <v>1561</v>
      </c>
    </row>
    <row r="1114" spans="1:12" ht="16.5" x14ac:dyDescent="0.35">
      <c r="A1114" s="109" t="str">
        <f>HYPERLINK("http://www.examplebusiness.comresource-center/insurance/gun-ownership-and-your-homeowners-policy","http://www.examplebusiness.comresource-center/insurance/gun-ownership-and-your-homeowners-policy")</f>
        <v>http://www.examplebusiness.comresource-center/insurance/gun-ownership-and-your-homeowners-policy</v>
      </c>
      <c r="B1114" s="34">
        <v>4</v>
      </c>
      <c r="C1114" s="34">
        <v>0</v>
      </c>
      <c r="D1114" s="34">
        <v>0</v>
      </c>
      <c r="E1114" s="34">
        <v>0</v>
      </c>
      <c r="F1114" s="34">
        <v>301</v>
      </c>
      <c r="G1114" s="34">
        <v>0</v>
      </c>
      <c r="H1114" s="34"/>
      <c r="I1114" s="34" t="s">
        <v>1561</v>
      </c>
      <c r="J1114" s="34" t="s">
        <v>1561</v>
      </c>
      <c r="K1114" s="107" t="s">
        <v>1561</v>
      </c>
      <c r="L1114" s="34" t="s">
        <v>1561</v>
      </c>
    </row>
    <row r="1115" spans="1:12" ht="16.5" x14ac:dyDescent="0.35">
      <c r="A1115" s="109" t="str">
        <f>HYPERLINK("http://www.examplebusiness.comresource-center/insurance/is-term-life-insurance-for-you","http://www.examplebusiness.comresource-center/insurance/is-term-life-insurance-for-you")</f>
        <v>http://www.examplebusiness.comresource-center/insurance/is-term-life-insurance-for-you</v>
      </c>
      <c r="B1115" s="34">
        <v>4</v>
      </c>
      <c r="C1115" s="34">
        <v>0</v>
      </c>
      <c r="D1115" s="34">
        <v>0</v>
      </c>
      <c r="E1115" s="34">
        <v>0</v>
      </c>
      <c r="F1115" s="34">
        <v>301</v>
      </c>
      <c r="G1115" s="34">
        <v>0</v>
      </c>
      <c r="H1115" s="34"/>
      <c r="I1115" s="34" t="s">
        <v>1561</v>
      </c>
      <c r="J1115" s="34" t="s">
        <v>1561</v>
      </c>
      <c r="K1115" s="107" t="s">
        <v>1561</v>
      </c>
      <c r="L1115" s="34" t="s">
        <v>1561</v>
      </c>
    </row>
    <row r="1116" spans="1:12" ht="16.5" x14ac:dyDescent="0.35">
      <c r="A1116" s="109" t="str">
        <f>HYPERLINK("http://www.examplebusiness.comresource-center/insurance/long-term-care-needs","http://www.examplebusiness.comresource-center/insurance/long-term-care-needs")</f>
        <v>http://www.examplebusiness.comresource-center/insurance/long-term-care-needs</v>
      </c>
      <c r="B1116" s="34">
        <v>4</v>
      </c>
      <c r="C1116" s="34">
        <v>0</v>
      </c>
      <c r="D1116" s="34">
        <v>0</v>
      </c>
      <c r="E1116" s="34">
        <v>0</v>
      </c>
      <c r="F1116" s="34">
        <v>301</v>
      </c>
      <c r="G1116" s="34">
        <v>0</v>
      </c>
      <c r="H1116" s="34"/>
      <c r="I1116" s="34" t="s">
        <v>1561</v>
      </c>
      <c r="J1116" s="34" t="s">
        <v>1561</v>
      </c>
      <c r="K1116" s="107" t="s">
        <v>1561</v>
      </c>
      <c r="L1116" s="34" t="s">
        <v>1561</v>
      </c>
    </row>
    <row r="1117" spans="1:12" ht="16.5" x14ac:dyDescent="0.35">
      <c r="A1117" s="109" t="str">
        <f>HYPERLINK("http://www.examplebusiness.comresource-center/insurance/protecting-those-who-matter-most","http://www.examplebusiness.comresource-center/insurance/protecting-those-who-matter-most")</f>
        <v>http://www.examplebusiness.comresource-center/insurance/protecting-those-who-matter-most</v>
      </c>
      <c r="B1117" s="34">
        <v>4</v>
      </c>
      <c r="C1117" s="34">
        <v>0</v>
      </c>
      <c r="D1117" s="34">
        <v>0</v>
      </c>
      <c r="E1117" s="34">
        <v>0</v>
      </c>
      <c r="F1117" s="34">
        <v>301</v>
      </c>
      <c r="G1117" s="34">
        <v>0</v>
      </c>
      <c r="H1117" s="34"/>
      <c r="I1117" s="34" t="s">
        <v>1561</v>
      </c>
      <c r="J1117" s="34" t="s">
        <v>1561</v>
      </c>
      <c r="K1117" s="107" t="s">
        <v>1561</v>
      </c>
      <c r="L1117" s="34" t="s">
        <v>1561</v>
      </c>
    </row>
    <row r="1118" spans="1:12" ht="16.5" x14ac:dyDescent="0.35">
      <c r="A1118" s="109" t="str">
        <f>HYPERLINK("http://www.examplebusiness.comresource-center/insurance/when-to-self-insure","http://www.examplebusiness.comresource-center/insurance/when-to-self-insure")</f>
        <v>http://www.examplebusiness.comresource-center/insurance/when-to-self-insure</v>
      </c>
      <c r="B1118" s="34">
        <v>4</v>
      </c>
      <c r="C1118" s="34">
        <v>0</v>
      </c>
      <c r="D1118" s="34">
        <v>0</v>
      </c>
      <c r="E1118" s="34">
        <v>0</v>
      </c>
      <c r="F1118" s="34">
        <v>301</v>
      </c>
      <c r="G1118" s="34">
        <v>0</v>
      </c>
      <c r="H1118" s="34"/>
      <c r="I1118" s="34" t="s">
        <v>1561</v>
      </c>
      <c r="J1118" s="34" t="s">
        <v>1561</v>
      </c>
      <c r="K1118" s="107" t="s">
        <v>1561</v>
      </c>
      <c r="L1118" s="34" t="s">
        <v>1561</v>
      </c>
    </row>
    <row r="1119" spans="1:12" ht="16.5" x14ac:dyDescent="0.35">
      <c r="A1119" s="109" t="str">
        <f>HYPERLINK("http://www.examplebusiness.comresource-center/investment/contributing-to-an-ira","http://www.examplebusiness.comresource-center/investment/contributing-to-an-ira")</f>
        <v>http://www.examplebusiness.comresource-center/investment/contributing-to-an-ira</v>
      </c>
      <c r="B1119" s="34">
        <v>4</v>
      </c>
      <c r="C1119" s="34">
        <v>0</v>
      </c>
      <c r="D1119" s="34">
        <v>0</v>
      </c>
      <c r="E1119" s="34">
        <v>0</v>
      </c>
      <c r="F1119" s="34">
        <v>301</v>
      </c>
      <c r="G1119" s="34">
        <v>0</v>
      </c>
      <c r="H1119" s="34"/>
      <c r="I1119" s="34" t="s">
        <v>1561</v>
      </c>
      <c r="J1119" s="34" t="s">
        <v>1561</v>
      </c>
      <c r="K1119" s="107" t="s">
        <v>1561</v>
      </c>
      <c r="L1119" s="34" t="s">
        <v>1561</v>
      </c>
    </row>
    <row r="1120" spans="1:12" ht="16.5" x14ac:dyDescent="0.35">
      <c r="A1120" s="109" t="str">
        <f>HYPERLINK("http://www.examplebusiness.comresource-center/investment/impact-of-taxes-and-inflation","http://www.examplebusiness.comresource-center/investment/impact-of-taxes-and-inflation")</f>
        <v>http://www.examplebusiness.comresource-center/investment/impact-of-taxes-and-inflation</v>
      </c>
      <c r="B1120" s="34">
        <v>4</v>
      </c>
      <c r="C1120" s="34">
        <v>0</v>
      </c>
      <c r="D1120" s="34">
        <v>0</v>
      </c>
      <c r="E1120" s="34">
        <v>0</v>
      </c>
      <c r="F1120" s="34">
        <v>301</v>
      </c>
      <c r="G1120" s="34">
        <v>0</v>
      </c>
      <c r="H1120" s="34"/>
      <c r="I1120" s="34" t="s">
        <v>1561</v>
      </c>
      <c r="J1120" s="34" t="s">
        <v>1561</v>
      </c>
      <c r="K1120" s="107" t="s">
        <v>1561</v>
      </c>
      <c r="L1120" s="34" t="s">
        <v>1561</v>
      </c>
    </row>
    <row r="1121" spans="1:12" ht="16.5" x14ac:dyDescent="0.35">
      <c r="A1121" s="109" t="str">
        <f>HYPERLINK("http://www.examplebusiness.comresource-center/investment/it-was-the-best-of-times-it-was-the-worst-of-times","http://www.examplebusiness.comresource-center/investment/it-was-the-best-of-times-it-was-the-worst-of-times")</f>
        <v>http://www.examplebusiness.comresource-center/investment/it-was-the-best-of-times-it-was-the-worst-of-times</v>
      </c>
      <c r="B1121" s="34">
        <v>4</v>
      </c>
      <c r="C1121" s="34">
        <v>0</v>
      </c>
      <c r="D1121" s="34">
        <v>0</v>
      </c>
      <c r="E1121" s="34">
        <v>0</v>
      </c>
      <c r="F1121" s="34">
        <v>301</v>
      </c>
      <c r="G1121" s="34">
        <v>0</v>
      </c>
      <c r="H1121" s="34"/>
      <c r="I1121" s="34" t="s">
        <v>1561</v>
      </c>
      <c r="J1121" s="34" t="s">
        <v>1561</v>
      </c>
      <c r="K1121" s="107" t="s">
        <v>1561</v>
      </c>
      <c r="L1121" s="34" t="s">
        <v>1561</v>
      </c>
    </row>
    <row r="1122" spans="1:12" ht="16.5" x14ac:dyDescent="0.35">
      <c r="A1122" s="109" t="str">
        <f>HYPERLINK("http://www.examplebusiness.comresource-center/investment/keys-to-investing-for-retirement","http://www.examplebusiness.comresource-center/investment/keys-to-investing-for-retirement")</f>
        <v>http://www.examplebusiness.comresource-center/investment/keys-to-investing-for-retirement</v>
      </c>
      <c r="B1122" s="34">
        <v>4</v>
      </c>
      <c r="C1122" s="34">
        <v>0</v>
      </c>
      <c r="D1122" s="34">
        <v>0</v>
      </c>
      <c r="E1122" s="34">
        <v>0</v>
      </c>
      <c r="F1122" s="34">
        <v>301</v>
      </c>
      <c r="G1122" s="34">
        <v>0</v>
      </c>
      <c r="H1122" s="34"/>
      <c r="I1122" s="34" t="s">
        <v>1561</v>
      </c>
      <c r="J1122" s="34" t="s">
        <v>1561</v>
      </c>
      <c r="K1122" s="107" t="s">
        <v>1561</v>
      </c>
      <c r="L1122" s="34" t="s">
        <v>1561</v>
      </c>
    </row>
    <row r="1123" spans="1:12" ht="16.5" x14ac:dyDescent="0.35">
      <c r="A1123" s="109" t="str">
        <f>HYPERLINK("http://www.examplebusiness.comresource-center/lifestyle","http://www.examplebusiness.comresource-center/lifestyle")</f>
        <v>http://www.examplebusiness.comresource-center/lifestyle</v>
      </c>
      <c r="B1123" s="34">
        <v>4</v>
      </c>
      <c r="C1123" s="34">
        <v>0</v>
      </c>
      <c r="D1123" s="34">
        <v>0</v>
      </c>
      <c r="E1123" s="34">
        <v>0</v>
      </c>
      <c r="F1123" s="34">
        <v>301</v>
      </c>
      <c r="G1123" s="34">
        <v>0</v>
      </c>
      <c r="H1123" s="34"/>
      <c r="I1123" s="34" t="s">
        <v>1561</v>
      </c>
      <c r="J1123" s="34" t="s">
        <v>1561</v>
      </c>
      <c r="K1123" s="107" t="s">
        <v>1561</v>
      </c>
      <c r="L1123" s="34" t="s">
        <v>1561</v>
      </c>
    </row>
    <row r="1124" spans="1:12" ht="16.5" x14ac:dyDescent="0.35">
      <c r="A1124" s="109" t="str">
        <f>HYPERLINK("http://www.examplebusiness.comresource-center/lifestyle/acres-of-diamonds","http://www.examplebusiness.comresource-center/lifestyle/acres-of-diamonds")</f>
        <v>http://www.examplebusiness.comresource-center/lifestyle/acres-of-diamonds</v>
      </c>
      <c r="B1124" s="34">
        <v>4</v>
      </c>
      <c r="C1124" s="34">
        <v>0</v>
      </c>
      <c r="D1124" s="34">
        <v>0</v>
      </c>
      <c r="E1124" s="34">
        <v>0</v>
      </c>
      <c r="F1124" s="34">
        <v>301</v>
      </c>
      <c r="G1124" s="34">
        <v>0</v>
      </c>
      <c r="H1124" s="34"/>
      <c r="I1124" s="34" t="s">
        <v>1561</v>
      </c>
      <c r="J1124" s="34" t="s">
        <v>1561</v>
      </c>
      <c r="K1124" s="107" t="s">
        <v>1561</v>
      </c>
      <c r="L1124" s="34" t="s">
        <v>1561</v>
      </c>
    </row>
    <row r="1125" spans="1:12" ht="16.5" x14ac:dyDescent="0.35">
      <c r="A1125" s="109" t="str">
        <f>HYPERLINK("http://www.examplebusiness.comresource-center/lifestyle/an-arm-and-a-leg","http://www.examplebusiness.comresource-center/lifestyle/an-arm-and-a-leg")</f>
        <v>http://www.examplebusiness.comresource-center/lifestyle/an-arm-and-a-leg</v>
      </c>
      <c r="B1125" s="34">
        <v>4</v>
      </c>
      <c r="C1125" s="34">
        <v>0</v>
      </c>
      <c r="D1125" s="34">
        <v>0</v>
      </c>
      <c r="E1125" s="34">
        <v>0</v>
      </c>
      <c r="F1125" s="34">
        <v>301</v>
      </c>
      <c r="G1125" s="34">
        <v>0</v>
      </c>
      <c r="H1125" s="34"/>
      <c r="I1125" s="34" t="s">
        <v>1561</v>
      </c>
      <c r="J1125" s="34" t="s">
        <v>1561</v>
      </c>
      <c r="K1125" s="107" t="s">
        <v>1561</v>
      </c>
      <c r="L1125" s="34" t="s">
        <v>1561</v>
      </c>
    </row>
    <row r="1126" spans="1:12" ht="16.5" x14ac:dyDescent="0.35">
      <c r="A1126" s="109" t="str">
        <f>HYPERLINK("http://www.examplebusiness.comresource-center/lifestyle/can-i-refinance-my-mortgage","http://www.examplebusiness.comresource-center/lifestyle/can-i-refinance-my-mortgage")</f>
        <v>http://www.examplebusiness.comresource-center/lifestyle/can-i-refinance-my-mortgage</v>
      </c>
      <c r="B1126" s="34">
        <v>4</v>
      </c>
      <c r="C1126" s="34">
        <v>0</v>
      </c>
      <c r="D1126" s="34">
        <v>0</v>
      </c>
      <c r="E1126" s="34">
        <v>0</v>
      </c>
      <c r="F1126" s="34">
        <v>301</v>
      </c>
      <c r="G1126" s="34">
        <v>0</v>
      </c>
      <c r="H1126" s="34"/>
      <c r="I1126" s="34" t="s">
        <v>1561</v>
      </c>
      <c r="J1126" s="34" t="s">
        <v>1561</v>
      </c>
      <c r="K1126" s="107" t="s">
        <v>1561</v>
      </c>
      <c r="L1126" s="34" t="s">
        <v>1561</v>
      </c>
    </row>
    <row r="1127" spans="1:12" ht="16.5" x14ac:dyDescent="0.35">
      <c r="A1127" s="109" t="str">
        <f>HYPERLINK("http://www.examplebusiness.comresource-center/lifestyle/saving-on-fitness-membership-costs","http://www.examplebusiness.comresource-center/lifestyle/saving-on-fitness-membership-costs")</f>
        <v>http://www.examplebusiness.comresource-center/lifestyle/saving-on-fitness-membership-costs</v>
      </c>
      <c r="B1127" s="34">
        <v>4</v>
      </c>
      <c r="C1127" s="34">
        <v>0</v>
      </c>
      <c r="D1127" s="34">
        <v>0</v>
      </c>
      <c r="E1127" s="34">
        <v>0</v>
      </c>
      <c r="F1127" s="34">
        <v>301</v>
      </c>
      <c r="G1127" s="34">
        <v>0</v>
      </c>
      <c r="H1127" s="34"/>
      <c r="I1127" s="34" t="s">
        <v>1561</v>
      </c>
      <c r="J1127" s="34" t="s">
        <v>1561</v>
      </c>
      <c r="K1127" s="107" t="s">
        <v>1561</v>
      </c>
      <c r="L1127" s="34" t="s">
        <v>1561</v>
      </c>
    </row>
    <row r="1128" spans="1:12" ht="16.5" x14ac:dyDescent="0.35">
      <c r="A1128" s="109" t="str">
        <f>HYPERLINK("http://www.examplebusiness.comresource-center/money","http://www.examplebusiness.comresource-center/money")</f>
        <v>http://www.examplebusiness.comresource-center/money</v>
      </c>
      <c r="B1128" s="34">
        <v>4</v>
      </c>
      <c r="C1128" s="34">
        <v>0</v>
      </c>
      <c r="D1128" s="34">
        <v>0</v>
      </c>
      <c r="E1128" s="34">
        <v>0</v>
      </c>
      <c r="F1128" s="34">
        <v>301</v>
      </c>
      <c r="G1128" s="34">
        <v>0</v>
      </c>
      <c r="H1128" s="34"/>
      <c r="I1128" s="34" t="s">
        <v>1561</v>
      </c>
      <c r="J1128" s="34" t="s">
        <v>1561</v>
      </c>
      <c r="K1128" s="107" t="s">
        <v>1561</v>
      </c>
      <c r="L1128" s="34" t="s">
        <v>1561</v>
      </c>
    </row>
    <row r="1129" spans="1:12" ht="16.5" x14ac:dyDescent="0.35">
      <c r="A1129" s="109" t="str">
        <f>HYPERLINK("http://www.examplebusiness.comresource-center/money/buying-vs-leasing-a-car","http://www.examplebusiness.comresource-center/money/buying-vs-leasing-a-car")</f>
        <v>http://www.examplebusiness.comresource-center/money/buying-vs-leasing-a-car</v>
      </c>
      <c r="B1129" s="34">
        <v>4</v>
      </c>
      <c r="C1129" s="34">
        <v>0</v>
      </c>
      <c r="D1129" s="34">
        <v>0</v>
      </c>
      <c r="E1129" s="34">
        <v>0</v>
      </c>
      <c r="F1129" s="34">
        <v>301</v>
      </c>
      <c r="G1129" s="34">
        <v>0</v>
      </c>
      <c r="H1129" s="34"/>
      <c r="I1129" s="34" t="s">
        <v>1561</v>
      </c>
      <c r="J1129" s="34" t="s">
        <v>1561</v>
      </c>
      <c r="K1129" s="107" t="s">
        <v>1561</v>
      </c>
      <c r="L1129" s="34" t="s">
        <v>1561</v>
      </c>
    </row>
    <row r="1130" spans="1:12" ht="16.5" x14ac:dyDescent="0.35">
      <c r="A1130" s="109" t="str">
        <f>HYPERLINK("http://www.examplebusiness.comresource-center/money/how-does-your-credit-score-compare","http://www.examplebusiness.comresource-center/money/how-does-your-credit-score-compare")</f>
        <v>http://www.examplebusiness.comresource-center/money/how-does-your-credit-score-compare</v>
      </c>
      <c r="B1130" s="34">
        <v>4</v>
      </c>
      <c r="C1130" s="34">
        <v>0</v>
      </c>
      <c r="D1130" s="34">
        <v>0</v>
      </c>
      <c r="E1130" s="34">
        <v>0</v>
      </c>
      <c r="F1130" s="34">
        <v>301</v>
      </c>
      <c r="G1130" s="34">
        <v>0</v>
      </c>
      <c r="H1130" s="34"/>
      <c r="I1130" s="34" t="s">
        <v>1561</v>
      </c>
      <c r="J1130" s="34" t="s">
        <v>1561</v>
      </c>
      <c r="K1130" s="107" t="s">
        <v>1561</v>
      </c>
      <c r="L1130" s="34" t="s">
        <v>1561</v>
      </c>
    </row>
    <row r="1131" spans="1:12" ht="16.5" x14ac:dyDescent="0.35">
      <c r="A1131" s="109" t="str">
        <f>HYPERLINK("http://www.examplebusiness.comresource-center/money/password-protection-strategies","http://www.examplebusiness.comresource-center/money/password-protection-strategies")</f>
        <v>http://www.examplebusiness.comresource-center/money/password-protection-strategies</v>
      </c>
      <c r="B1131" s="34">
        <v>4</v>
      </c>
      <c r="C1131" s="34">
        <v>0</v>
      </c>
      <c r="D1131" s="34">
        <v>0</v>
      </c>
      <c r="E1131" s="34">
        <v>0</v>
      </c>
      <c r="F1131" s="34">
        <v>301</v>
      </c>
      <c r="G1131" s="34">
        <v>0</v>
      </c>
      <c r="H1131" s="34"/>
      <c r="I1131" s="34" t="s">
        <v>1561</v>
      </c>
      <c r="J1131" s="34" t="s">
        <v>1561</v>
      </c>
      <c r="K1131" s="107" t="s">
        <v>1561</v>
      </c>
      <c r="L1131" s="34" t="s">
        <v>1561</v>
      </c>
    </row>
    <row r="1132" spans="1:12" ht="16.5" x14ac:dyDescent="0.35">
      <c r="A1132" s="109" t="str">
        <f>HYPERLINK("http://www.examplebusiness.comresource-center/money/what-our-kids-can-teach-us-about-saving-money","http://www.examplebusiness.comresource-center/money/what-our-kids-can-teach-us-about-saving-money")</f>
        <v>http://www.examplebusiness.comresource-center/money/what-our-kids-can-teach-us-about-saving-money</v>
      </c>
      <c r="B1132" s="34">
        <v>4</v>
      </c>
      <c r="C1132" s="34">
        <v>0</v>
      </c>
      <c r="D1132" s="34">
        <v>0</v>
      </c>
      <c r="E1132" s="34">
        <v>0</v>
      </c>
      <c r="F1132" s="34">
        <v>301</v>
      </c>
      <c r="G1132" s="34">
        <v>0</v>
      </c>
      <c r="H1132" s="34"/>
      <c r="I1132" s="34" t="s">
        <v>1561</v>
      </c>
      <c r="J1132" s="34" t="s">
        <v>1561</v>
      </c>
      <c r="K1132" s="107" t="s">
        <v>1561</v>
      </c>
      <c r="L1132" s="34" t="s">
        <v>1561</v>
      </c>
    </row>
    <row r="1133" spans="1:12" ht="16.5" x14ac:dyDescent="0.35">
      <c r="A1133" s="109" t="str">
        <f>HYPERLINK("http://www.examplebusiness.comresource-center/money/your-cash-flow-statement","http://www.examplebusiness.comresource-center/money/your-cash-flow-statement")</f>
        <v>http://www.examplebusiness.comresource-center/money/your-cash-flow-statement</v>
      </c>
      <c r="B1133" s="34">
        <v>4</v>
      </c>
      <c r="C1133" s="34">
        <v>0</v>
      </c>
      <c r="D1133" s="34">
        <v>0</v>
      </c>
      <c r="E1133" s="34">
        <v>0</v>
      </c>
      <c r="F1133" s="34">
        <v>301</v>
      </c>
      <c r="G1133" s="34">
        <v>0</v>
      </c>
      <c r="H1133" s="34"/>
      <c r="I1133" s="34" t="s">
        <v>1561</v>
      </c>
      <c r="J1133" s="34" t="s">
        <v>1561</v>
      </c>
      <c r="K1133" s="107" t="s">
        <v>1561</v>
      </c>
      <c r="L1133" s="34" t="s">
        <v>1561</v>
      </c>
    </row>
    <row r="1134" spans="1:12" ht="16.5" x14ac:dyDescent="0.35">
      <c r="A1134" s="109" t="str">
        <f>HYPERLINK("http://www.examplebusiness.comresource-center/presentations","http://www.examplebusiness.comresource-center/presentations")</f>
        <v>http://www.examplebusiness.comresource-center/presentations</v>
      </c>
      <c r="B1134" s="34">
        <v>4</v>
      </c>
      <c r="C1134" s="34">
        <v>0</v>
      </c>
      <c r="D1134" s="34">
        <v>0</v>
      </c>
      <c r="E1134" s="34">
        <v>0</v>
      </c>
      <c r="F1134" s="34">
        <v>301</v>
      </c>
      <c r="G1134" s="34">
        <v>0</v>
      </c>
      <c r="H1134" s="34"/>
      <c r="I1134" s="34" t="s">
        <v>1561</v>
      </c>
      <c r="J1134" s="34" t="s">
        <v>1561</v>
      </c>
      <c r="K1134" s="107" t="s">
        <v>1561</v>
      </c>
      <c r="L1134" s="34" t="s">
        <v>1561</v>
      </c>
    </row>
    <row r="1135" spans="1:12" ht="16.5" x14ac:dyDescent="0.35">
      <c r="A1135" s="109" t="str">
        <f>HYPERLINK("http://www.examplebusiness.comresource-center/retirement","http://www.examplebusiness.comresource-center/retirement")</f>
        <v>http://www.examplebusiness.comresource-center/retirement</v>
      </c>
      <c r="B1135" s="34">
        <v>4</v>
      </c>
      <c r="C1135" s="34">
        <v>0</v>
      </c>
      <c r="D1135" s="34">
        <v>0</v>
      </c>
      <c r="E1135" s="34">
        <v>0</v>
      </c>
      <c r="F1135" s="34">
        <v>301</v>
      </c>
      <c r="G1135" s="34">
        <v>0</v>
      </c>
      <c r="H1135" s="34"/>
      <c r="I1135" s="34" t="s">
        <v>1561</v>
      </c>
      <c r="J1135" s="34" t="s">
        <v>1561</v>
      </c>
      <c r="K1135" s="107" t="s">
        <v>1561</v>
      </c>
      <c r="L1135" s="34" t="s">
        <v>1561</v>
      </c>
    </row>
    <row r="1136" spans="1:12" ht="16.5" x14ac:dyDescent="0.35">
      <c r="A1136" s="109" t="str">
        <f>HYPERLINK("http://www.examplebusiness.comresource-center/retirement/a-look-at-systematic-withdrawals","http://www.examplebusiness.comresource-center/retirement/a-look-at-systematic-withdrawals")</f>
        <v>http://www.examplebusiness.comresource-center/retirement/a-look-at-systematic-withdrawals</v>
      </c>
      <c r="B1136" s="34">
        <v>4</v>
      </c>
      <c r="C1136" s="34">
        <v>0</v>
      </c>
      <c r="D1136" s="34">
        <v>0</v>
      </c>
      <c r="E1136" s="34">
        <v>0</v>
      </c>
      <c r="F1136" s="34">
        <v>301</v>
      </c>
      <c r="G1136" s="34">
        <v>0</v>
      </c>
      <c r="H1136" s="34"/>
      <c r="I1136" s="34" t="s">
        <v>1561</v>
      </c>
      <c r="J1136" s="34" t="s">
        <v>1561</v>
      </c>
      <c r="K1136" s="107" t="s">
        <v>1561</v>
      </c>
      <c r="L1136" s="34" t="s">
        <v>1561</v>
      </c>
    </row>
    <row r="1137" spans="1:12" ht="16.5" x14ac:dyDescent="0.35">
      <c r="A1137" s="109" t="str">
        <f>HYPERLINK("http://www.examplebusiness.comresource-center/retirement/an-inside-look-at-retirement-living","http://www.examplebusiness.comresource-center/retirement/an-inside-look-at-retirement-living")</f>
        <v>http://www.examplebusiness.comresource-center/retirement/an-inside-look-at-retirement-living</v>
      </c>
      <c r="B1137" s="34">
        <v>4</v>
      </c>
      <c r="C1137" s="34">
        <v>0</v>
      </c>
      <c r="D1137" s="34">
        <v>0</v>
      </c>
      <c r="E1137" s="34">
        <v>0</v>
      </c>
      <c r="F1137" s="34">
        <v>301</v>
      </c>
      <c r="G1137" s="34">
        <v>0</v>
      </c>
      <c r="H1137" s="34"/>
      <c r="I1137" s="34" t="s">
        <v>1561</v>
      </c>
      <c r="J1137" s="34" t="s">
        <v>1561</v>
      </c>
      <c r="K1137" s="107" t="s">
        <v>1561</v>
      </c>
      <c r="L1137" s="34" t="s">
        <v>1561</v>
      </c>
    </row>
    <row r="1138" spans="1:12" ht="16.5" x14ac:dyDescent="0.35">
      <c r="A1138" s="109" t="str">
        <f>HYPERLINK("http://www.examplebusiness.comresource-center/retirement/investment-strategies-for-retirement","http://www.examplebusiness.comresource-center/retirement/investment-strategies-for-retirement")</f>
        <v>http://www.examplebusiness.comresource-center/retirement/investment-strategies-for-retirement</v>
      </c>
      <c r="B1138" s="34">
        <v>4</v>
      </c>
      <c r="C1138" s="34">
        <v>0</v>
      </c>
      <c r="D1138" s="34">
        <v>0</v>
      </c>
      <c r="E1138" s="34">
        <v>0</v>
      </c>
      <c r="F1138" s="34">
        <v>301</v>
      </c>
      <c r="G1138" s="34">
        <v>0</v>
      </c>
      <c r="H1138" s="34"/>
      <c r="I1138" s="34" t="s">
        <v>1561</v>
      </c>
      <c r="J1138" s="34" t="s">
        <v>1561</v>
      </c>
      <c r="K1138" s="107" t="s">
        <v>1561</v>
      </c>
      <c r="L1138" s="34" t="s">
        <v>1561</v>
      </c>
    </row>
    <row r="1139" spans="1:12" ht="16.5" x14ac:dyDescent="0.35">
      <c r="A1139" s="109" t="str">
        <f>HYPERLINK("http://www.examplebusiness.comresource-center/retirement/retirement-redefined","http://www.examplebusiness.comresource-center/retirement/retirement-redefined")</f>
        <v>http://www.examplebusiness.comresource-center/retirement/retirement-redefined</v>
      </c>
      <c r="B1139" s="34">
        <v>4</v>
      </c>
      <c r="C1139" s="34">
        <v>0</v>
      </c>
      <c r="D1139" s="34">
        <v>0</v>
      </c>
      <c r="E1139" s="34">
        <v>0</v>
      </c>
      <c r="F1139" s="34">
        <v>301</v>
      </c>
      <c r="G1139" s="34">
        <v>0</v>
      </c>
      <c r="H1139" s="34"/>
      <c r="I1139" s="34" t="s">
        <v>1561</v>
      </c>
      <c r="J1139" s="34" t="s">
        <v>1561</v>
      </c>
      <c r="K1139" s="107" t="s">
        <v>1561</v>
      </c>
      <c r="L1139" s="34" t="s">
        <v>1561</v>
      </c>
    </row>
    <row r="1140" spans="1:12" ht="16.5" x14ac:dyDescent="0.35">
      <c r="A1140" s="109" t="str">
        <f>HYPERLINK("http://www.examplebusiness.comresource-center/retirement/saving-for-retirement","http://www.examplebusiness.comresource-center/retirement/saving-for-retirement")</f>
        <v>http://www.examplebusiness.comresource-center/retirement/saving-for-retirement</v>
      </c>
      <c r="B1140" s="34">
        <v>4</v>
      </c>
      <c r="C1140" s="34">
        <v>0</v>
      </c>
      <c r="D1140" s="34">
        <v>0</v>
      </c>
      <c r="E1140" s="34">
        <v>0</v>
      </c>
      <c r="F1140" s="34">
        <v>301</v>
      </c>
      <c r="G1140" s="34">
        <v>0</v>
      </c>
      <c r="H1140" s="34"/>
      <c r="I1140" s="34" t="s">
        <v>1561</v>
      </c>
      <c r="J1140" s="34" t="s">
        <v>1561</v>
      </c>
      <c r="K1140" s="107" t="s">
        <v>1561</v>
      </c>
      <c r="L1140" s="34" t="s">
        <v>1561</v>
      </c>
    </row>
    <row r="1141" spans="1:12" ht="16.5" x14ac:dyDescent="0.35">
      <c r="A1141" s="109" t="str">
        <f>HYPERLINK("http://www.examplebusiness.comresource-center/retirement/tuning-your-social-security-benefit","http://www.examplebusiness.comresource-center/retirement/tuning-your-social-security-benefit")</f>
        <v>http://www.examplebusiness.comresource-center/retirement/tuning-your-social-security-benefit</v>
      </c>
      <c r="B1141" s="34">
        <v>4</v>
      </c>
      <c r="C1141" s="34">
        <v>0</v>
      </c>
      <c r="D1141" s="34">
        <v>0</v>
      </c>
      <c r="E1141" s="34">
        <v>0</v>
      </c>
      <c r="F1141" s="34">
        <v>301</v>
      </c>
      <c r="G1141" s="34">
        <v>0</v>
      </c>
      <c r="H1141" s="34"/>
      <c r="I1141" s="34" t="s">
        <v>1561</v>
      </c>
      <c r="J1141" s="34" t="s">
        <v>1561</v>
      </c>
      <c r="K1141" s="107" t="s">
        <v>1561</v>
      </c>
      <c r="L1141" s="34" t="s">
        <v>1561</v>
      </c>
    </row>
    <row r="1142" spans="1:12" ht="16.5" x14ac:dyDescent="0.35">
      <c r="A1142" s="109" t="str">
        <f>HYPERLINK("http://www.examplebusiness.comresource-center/tax","http://www.examplebusiness.comresource-center/tax")</f>
        <v>http://www.examplebusiness.comresource-center/tax</v>
      </c>
      <c r="B1142" s="34">
        <v>4</v>
      </c>
      <c r="C1142" s="34">
        <v>0</v>
      </c>
      <c r="D1142" s="34">
        <v>0</v>
      </c>
      <c r="E1142" s="34">
        <v>0</v>
      </c>
      <c r="F1142" s="34">
        <v>301</v>
      </c>
      <c r="G1142" s="34">
        <v>0</v>
      </c>
      <c r="H1142" s="34"/>
      <c r="I1142" s="34" t="s">
        <v>1561</v>
      </c>
      <c r="J1142" s="34" t="s">
        <v>1561</v>
      </c>
      <c r="K1142" s="107" t="s">
        <v>1561</v>
      </c>
      <c r="L1142" s="34" t="s">
        <v>1561</v>
      </c>
    </row>
    <row r="1143" spans="1:12" ht="16.5" x14ac:dyDescent="0.35">
      <c r="A1143" s="109" t="str">
        <f>HYPERLINK("http://www.examplebusiness.comresource-center/tax/the-fact-about-income-tax","http://www.examplebusiness.comresource-center/tax/the-fact-about-income-tax")</f>
        <v>http://www.examplebusiness.comresource-center/tax/the-fact-about-income-tax</v>
      </c>
      <c r="B1143" s="34">
        <v>4</v>
      </c>
      <c r="C1143" s="34">
        <v>0</v>
      </c>
      <c r="D1143" s="34">
        <v>0</v>
      </c>
      <c r="E1143" s="34">
        <v>0</v>
      </c>
      <c r="F1143" s="34">
        <v>301</v>
      </c>
      <c r="G1143" s="34">
        <v>0</v>
      </c>
      <c r="H1143" s="34"/>
      <c r="I1143" s="34" t="s">
        <v>1561</v>
      </c>
      <c r="J1143" s="34" t="s">
        <v>1561</v>
      </c>
      <c r="K1143" s="107" t="s">
        <v>1561</v>
      </c>
      <c r="L1143" s="34" t="s">
        <v>1561</v>
      </c>
    </row>
    <row r="1144" spans="1:12" ht="16.5" x14ac:dyDescent="0.35">
      <c r="A1144" s="109" t="str">
        <f>HYPERLINK("http://www.examplebusiness.comresource-center/videos","http://www.examplebusiness.comresource-center/videos")</f>
        <v>http://www.examplebusiness.comresource-center/videos</v>
      </c>
      <c r="B1144" s="34">
        <v>4</v>
      </c>
      <c r="C1144" s="34">
        <v>0</v>
      </c>
      <c r="D1144" s="34">
        <v>0</v>
      </c>
      <c r="E1144" s="34">
        <v>0</v>
      </c>
      <c r="F1144" s="34">
        <v>301</v>
      </c>
      <c r="G1144" s="34">
        <v>0</v>
      </c>
      <c r="H1144" s="34"/>
      <c r="I1144" s="34" t="s">
        <v>1561</v>
      </c>
      <c r="J1144" s="34" t="s">
        <v>1561</v>
      </c>
      <c r="K1144" s="107" t="s">
        <v>1561</v>
      </c>
      <c r="L1144" s="34" t="s">
        <v>1561</v>
      </c>
    </row>
    <row r="1145" spans="1:12" ht="16.5" x14ac:dyDescent="0.35">
      <c r="A1145" s="109" t="str">
        <f>HYPERLINK("http://www.examplebusiness.comteam","http://www.examplebusiness.comteam")</f>
        <v>http://www.examplebusiness.comteam</v>
      </c>
      <c r="B1145" s="34">
        <v>4</v>
      </c>
      <c r="C1145" s="34">
        <v>0</v>
      </c>
      <c r="D1145" s="34">
        <v>0</v>
      </c>
      <c r="E1145" s="34">
        <v>0</v>
      </c>
      <c r="F1145" s="34">
        <v>301</v>
      </c>
      <c r="G1145" s="34">
        <v>0</v>
      </c>
      <c r="H1145" s="34"/>
      <c r="I1145" s="34" t="s">
        <v>1561</v>
      </c>
      <c r="J1145" s="34" t="s">
        <v>1561</v>
      </c>
      <c r="K1145" s="107" t="s">
        <v>1561</v>
      </c>
      <c r="L1145" s="34" t="s">
        <v>1561</v>
      </c>
    </row>
    <row r="1146" spans="1:12" ht="16.5" x14ac:dyDescent="0.35">
      <c r="A1146" s="109" t="str">
        <f>HYPERLINK("http://examplebusiness.com?p=692","http://examplebusiness.com?p=692")</f>
        <v>http://examplebusiness.com?p=692</v>
      </c>
      <c r="B1146" s="34">
        <v>4</v>
      </c>
      <c r="C1146" s="34">
        <v>0</v>
      </c>
      <c r="D1146" s="34">
        <v>0</v>
      </c>
      <c r="E1146" s="34">
        <v>0</v>
      </c>
      <c r="F1146" s="34">
        <v>301</v>
      </c>
      <c r="G1146" s="34">
        <v>0</v>
      </c>
      <c r="H1146" s="34"/>
      <c r="I1146" s="34" t="s">
        <v>1561</v>
      </c>
      <c r="J1146" s="34" t="s">
        <v>1561</v>
      </c>
      <c r="K1146" s="107" t="s">
        <v>1561</v>
      </c>
      <c r="L1146" s="34" t="s">
        <v>1561</v>
      </c>
    </row>
    <row r="1147" spans="1:12" ht="16.5" x14ac:dyDescent="0.35">
      <c r="A1147" s="109" t="str">
        <f>HYPERLINK("http://examplebusiness.comcategory/fox-9-interviews/feed/","http://examplebusiness.comcategory/fox-9-interviews/feed/")</f>
        <v>http://examplebusiness.comcategory/fox-9-interviews/feed/</v>
      </c>
      <c r="B1147" s="34">
        <v>4</v>
      </c>
      <c r="C1147" s="34">
        <v>0</v>
      </c>
      <c r="D1147" s="34">
        <v>0</v>
      </c>
      <c r="E1147" s="34">
        <v>0</v>
      </c>
      <c r="F1147" s="34">
        <v>301</v>
      </c>
      <c r="G1147" s="34">
        <v>0</v>
      </c>
      <c r="H1147" s="34"/>
      <c r="I1147" s="34" t="s">
        <v>1561</v>
      </c>
      <c r="J1147" s="34" t="s">
        <v>1561</v>
      </c>
      <c r="K1147" s="107" t="s">
        <v>1561</v>
      </c>
      <c r="L1147" s="34" t="s">
        <v>1561</v>
      </c>
    </row>
    <row r="1148" spans="1:12" ht="16.5" x14ac:dyDescent="0.35">
      <c r="A1148" s="109" t="str">
        <f>HYPERLINK("https://www.examplebusiness.com/cdn-cgi/scripts/5c5dd728/cloudflare-static/email-decode.min.js","https://www.examplebusiness.com/cdn-cgi/scripts/5c5dd728/cloudflare-static/email-decode.min.js")</f>
        <v>https://www.examplebusiness.com/cdn-cgi/scripts/5c5dd728/cloudflare-static/email-decode.min.js</v>
      </c>
      <c r="B1148" s="34">
        <v>4</v>
      </c>
      <c r="C1148" s="34">
        <v>0</v>
      </c>
      <c r="D1148" s="34">
        <v>0</v>
      </c>
      <c r="E1148" s="34">
        <v>0</v>
      </c>
      <c r="F1148" s="34">
        <v>200</v>
      </c>
      <c r="G1148" s="34">
        <v>0</v>
      </c>
      <c r="H1148" s="34"/>
      <c r="I1148" s="34" t="s">
        <v>1561</v>
      </c>
      <c r="J1148" s="34" t="s">
        <v>1561</v>
      </c>
      <c r="K1148" s="107" t="s">
        <v>1561</v>
      </c>
      <c r="L1148" s="34" t="s">
        <v>1561</v>
      </c>
    </row>
    <row r="1149" spans="1:12" ht="16.5" x14ac:dyDescent="0.35">
      <c r="A1149" s="109" t="str">
        <f>HYPERLINK("http://examplebusiness.comcomments/feed/","http://examplebusiness.comcomments/feed/")</f>
        <v>http://examplebusiness.comcomments/feed/</v>
      </c>
      <c r="B1149" s="34">
        <v>4</v>
      </c>
      <c r="C1149" s="34">
        <v>0</v>
      </c>
      <c r="D1149" s="34">
        <v>0</v>
      </c>
      <c r="E1149" s="34">
        <v>0</v>
      </c>
      <c r="F1149" s="34">
        <v>301</v>
      </c>
      <c r="G1149" s="34">
        <v>0</v>
      </c>
      <c r="H1149" s="34"/>
      <c r="I1149" s="34" t="s">
        <v>1561</v>
      </c>
      <c r="J1149" s="34" t="s">
        <v>1561</v>
      </c>
      <c r="K1149" s="107" t="s">
        <v>1561</v>
      </c>
      <c r="L1149" s="34" t="s">
        <v>1561</v>
      </c>
    </row>
    <row r="1150" spans="1:12" ht="16.5" x14ac:dyDescent="0.35">
      <c r="A1150" s="109" t="str">
        <f>HYPERLINK("http://examplebusiness.comcontact-us/feed/","http://examplebusiness.comcontact-us/feed/")</f>
        <v>http://examplebusiness.comcontact-us/feed/</v>
      </c>
      <c r="B1150" s="34">
        <v>4</v>
      </c>
      <c r="C1150" s="34">
        <v>0</v>
      </c>
      <c r="D1150" s="34">
        <v>0</v>
      </c>
      <c r="E1150" s="34">
        <v>0</v>
      </c>
      <c r="F1150" s="34">
        <v>301</v>
      </c>
      <c r="G1150" s="34">
        <v>0</v>
      </c>
      <c r="H1150" s="34"/>
      <c r="I1150" s="34" t="s">
        <v>1561</v>
      </c>
      <c r="J1150" s="34" t="s">
        <v>1561</v>
      </c>
      <c r="K1150" s="107" t="s">
        <v>1561</v>
      </c>
      <c r="L1150" s="34" t="s">
        <v>1561</v>
      </c>
    </row>
    <row r="1151" spans="1:12" ht="16.5" x14ac:dyDescent="0.35">
      <c r="A1151" s="109" t="str">
        <f>HYPERLINK("http://examplebusiness.comdow-dives/feed/","http://examplebusiness.comdow-dives/feed/")</f>
        <v>http://examplebusiness.comdow-dives/feed/</v>
      </c>
      <c r="B1151" s="34">
        <v>4</v>
      </c>
      <c r="C1151" s="34">
        <v>0</v>
      </c>
      <c r="D1151" s="34">
        <v>0</v>
      </c>
      <c r="E1151" s="34">
        <v>0</v>
      </c>
      <c r="F1151" s="34">
        <v>301</v>
      </c>
      <c r="G1151" s="34">
        <v>0</v>
      </c>
      <c r="H1151" s="34"/>
      <c r="I1151" s="34" t="s">
        <v>1561</v>
      </c>
      <c r="J1151" s="34" t="s">
        <v>1561</v>
      </c>
      <c r="K1151" s="107" t="s">
        <v>1561</v>
      </c>
      <c r="L1151" s="34" t="s">
        <v>1561</v>
      </c>
    </row>
    <row r="1152" spans="1:12" ht="16.5" x14ac:dyDescent="0.35">
      <c r="A1152" s="109" t="str">
        <f>HYPERLINK("http://examplebusiness.comdow-jones-milestone/feed/","http://examplebusiness.comdow-jones-milestone/feed/")</f>
        <v>http://examplebusiness.comdow-jones-milestone/feed/</v>
      </c>
      <c r="B1152" s="34">
        <v>4</v>
      </c>
      <c r="C1152" s="34">
        <v>0</v>
      </c>
      <c r="D1152" s="34">
        <v>0</v>
      </c>
      <c r="E1152" s="34">
        <v>0</v>
      </c>
      <c r="F1152" s="34">
        <v>301</v>
      </c>
      <c r="G1152" s="34">
        <v>0</v>
      </c>
      <c r="H1152" s="34"/>
      <c r="I1152" s="34" t="s">
        <v>1561</v>
      </c>
      <c r="J1152" s="34" t="s">
        <v>1561</v>
      </c>
      <c r="K1152" s="107" t="s">
        <v>1561</v>
      </c>
      <c r="L1152" s="34" t="s">
        <v>1561</v>
      </c>
    </row>
    <row r="1153" spans="1:12" ht="16.5" x14ac:dyDescent="0.35">
      <c r="A1153" s="109" t="str">
        <f>HYPERLINK("https://www.examplebusiness.com/favicon.ico","https://www.examplebusiness.com/favicon.ico")</f>
        <v>https://www.examplebusiness.com/favicon.ico</v>
      </c>
      <c r="B1153" s="34">
        <v>4</v>
      </c>
      <c r="C1153" s="34">
        <v>0</v>
      </c>
      <c r="D1153" s="34">
        <v>0</v>
      </c>
      <c r="E1153" s="34">
        <v>0</v>
      </c>
      <c r="F1153" s="34">
        <v>404</v>
      </c>
      <c r="G1153" s="34">
        <v>0</v>
      </c>
      <c r="H1153" s="34"/>
      <c r="I1153" s="34" t="s">
        <v>1561</v>
      </c>
      <c r="J1153" s="34" t="s">
        <v>1561</v>
      </c>
      <c r="K1153" s="107" t="s">
        <v>1561</v>
      </c>
      <c r="L1153" s="34" t="s">
        <v>1561</v>
      </c>
    </row>
    <row r="1154" spans="1:12" ht="16.5" x14ac:dyDescent="0.35">
      <c r="A1154" s="109" t="str">
        <f>HYPERLINK("http://examplebusiness.comfeed/","http://examplebusiness.comfeed/")</f>
        <v>http://examplebusiness.comfeed/</v>
      </c>
      <c r="B1154" s="34">
        <v>4</v>
      </c>
      <c r="C1154" s="34">
        <v>0</v>
      </c>
      <c r="D1154" s="34">
        <v>0</v>
      </c>
      <c r="E1154" s="34">
        <v>0</v>
      </c>
      <c r="F1154" s="34">
        <v>301</v>
      </c>
      <c r="G1154" s="34">
        <v>0</v>
      </c>
      <c r="H1154" s="34"/>
      <c r="I1154" s="34" t="s">
        <v>1561</v>
      </c>
      <c r="J1154" s="34" t="s">
        <v>1561</v>
      </c>
      <c r="K1154" s="107" t="s">
        <v>1561</v>
      </c>
      <c r="L1154" s="34" t="s">
        <v>1561</v>
      </c>
    </row>
    <row r="1155" spans="1:12" ht="16.5" x14ac:dyDescent="0.35">
      <c r="A1155" s="109" t="str">
        <f>HYPERLINK("http://www.examplebusiness.comira-accounts/","http://www.examplebusiness.comira-accounts/")</f>
        <v>http://www.examplebusiness.comira-accounts/</v>
      </c>
      <c r="B1155" s="34">
        <v>4</v>
      </c>
      <c r="C1155" s="34">
        <v>0</v>
      </c>
      <c r="D1155" s="34">
        <v>0</v>
      </c>
      <c r="E1155" s="34">
        <v>0</v>
      </c>
      <c r="F1155" s="34">
        <v>301</v>
      </c>
      <c r="G1155" s="34">
        <v>0</v>
      </c>
      <c r="H1155" s="34"/>
      <c r="I1155" s="34" t="s">
        <v>1561</v>
      </c>
      <c r="J1155" s="34" t="s">
        <v>1561</v>
      </c>
      <c r="K1155" s="107" t="s">
        <v>1561</v>
      </c>
      <c r="L1155" s="34" t="s">
        <v>1561</v>
      </c>
    </row>
    <row r="1156" spans="1:12" ht="16.5" x14ac:dyDescent="0.35">
      <c r="A1156" s="109" t="str">
        <f>HYPERLINK("http://www.examplebusiness.comadvisory-firm-in-minneapolis-specializing-in-401k-rollovers","http://www.examplebusiness.comadvisory-firm-in-minneapolis-specializing-in-401k-rollovers")</f>
        <v>http://www.examplebusiness.comadvisory-firm-in-minneapolis-specializing-in-401k-rollovers</v>
      </c>
      <c r="B1156" s="34">
        <v>4</v>
      </c>
      <c r="C1156" s="34">
        <v>0</v>
      </c>
      <c r="D1156" s="34">
        <v>0</v>
      </c>
      <c r="E1156" s="34">
        <v>0</v>
      </c>
      <c r="F1156" s="34">
        <v>301</v>
      </c>
      <c r="G1156" s="34">
        <v>0</v>
      </c>
      <c r="H1156" s="34"/>
      <c r="I1156" s="34" t="s">
        <v>1561</v>
      </c>
      <c r="J1156" s="34" t="s">
        <v>1561</v>
      </c>
      <c r="K1156" s="107" t="s">
        <v>1561</v>
      </c>
      <c r="L1156" s="34" t="s">
        <v>1561</v>
      </c>
    </row>
    <row r="1157" spans="1:12" ht="16.5" x14ac:dyDescent="0.35">
      <c r="A1157" s="109" t="str">
        <f>HYPERLINK("http://www.examplebusiness.comblog/30-important-questions-to-answer-about-your-will","http://www.examplebusiness.comblog/30-important-questions-to-answer-about-your-will")</f>
        <v>http://www.examplebusiness.comblog/30-important-questions-to-answer-about-your-will</v>
      </c>
      <c r="B1157" s="34">
        <v>4</v>
      </c>
      <c r="C1157" s="34">
        <v>0</v>
      </c>
      <c r="D1157" s="34">
        <v>0</v>
      </c>
      <c r="E1157" s="34">
        <v>0</v>
      </c>
      <c r="F1157" s="34">
        <v>301</v>
      </c>
      <c r="G1157" s="34">
        <v>0</v>
      </c>
      <c r="H1157" s="34"/>
      <c r="I1157" s="34" t="s">
        <v>1561</v>
      </c>
      <c r="J1157" s="34" t="s">
        <v>1561</v>
      </c>
      <c r="K1157" s="107" t="s">
        <v>1561</v>
      </c>
      <c r="L1157" s="34" t="s">
        <v>1561</v>
      </c>
    </row>
    <row r="1158" spans="1:12" ht="16.5" x14ac:dyDescent="0.35">
      <c r="A1158" s="109" t="str">
        <f>HYPERLINK("http://www.examplebusiness.comblog/6-ways-to-a-happier-retirement","http://www.examplebusiness.comblog/6-ways-to-a-happier-retirement")</f>
        <v>http://www.examplebusiness.comblog/6-ways-to-a-happier-retirement</v>
      </c>
      <c r="B1158" s="34">
        <v>4</v>
      </c>
      <c r="C1158" s="34">
        <v>0</v>
      </c>
      <c r="D1158" s="34">
        <v>0</v>
      </c>
      <c r="E1158" s="34">
        <v>0</v>
      </c>
      <c r="F1158" s="34">
        <v>301</v>
      </c>
      <c r="G1158" s="34">
        <v>0</v>
      </c>
      <c r="H1158" s="34"/>
      <c r="I1158" s="34" t="s">
        <v>1561</v>
      </c>
      <c r="J1158" s="34" t="s">
        <v>1561</v>
      </c>
      <c r="K1158" s="107" t="s">
        <v>1561</v>
      </c>
      <c r="L1158" s="34" t="s">
        <v>1561</v>
      </c>
    </row>
    <row r="1159" spans="1:12" ht="16.5" x14ac:dyDescent="0.35">
      <c r="A1159" s="109" t="str">
        <f>HYPERLINK("http://www.examplebusiness.comblog/surviving-the-holiday-spending-seasondebt-free","http://www.examplebusiness.comblog/surviving-the-holiday-spending-seasondebt-free")</f>
        <v>http://www.examplebusiness.comblog/surviving-the-holiday-spending-seasondebt-free</v>
      </c>
      <c r="B1159" s="34">
        <v>4</v>
      </c>
      <c r="C1159" s="34">
        <v>0</v>
      </c>
      <c r="D1159" s="34">
        <v>0</v>
      </c>
      <c r="E1159" s="34">
        <v>0</v>
      </c>
      <c r="F1159" s="34">
        <v>301</v>
      </c>
      <c r="G1159" s="34">
        <v>0</v>
      </c>
      <c r="H1159" s="34"/>
      <c r="I1159" s="34" t="s">
        <v>1561</v>
      </c>
      <c r="J1159" s="34" t="s">
        <v>1561</v>
      </c>
      <c r="K1159" s="107" t="s">
        <v>1561</v>
      </c>
      <c r="L1159" s="34" t="s">
        <v>1561</v>
      </c>
    </row>
    <row r="1160" spans="1:12" ht="16.5" x14ac:dyDescent="0.35">
      <c r="A1160" s="109" t="str">
        <f>HYPERLINK("http://www.examplebusiness.comblog/team-abc-outing","http://www.examplebusiness.comblog/team-abc-outing")</f>
        <v>http://www.examplebusiness.comblog/team-abc-outing</v>
      </c>
      <c r="B1160" s="34">
        <v>4</v>
      </c>
      <c r="C1160" s="34">
        <v>0</v>
      </c>
      <c r="D1160" s="34">
        <v>0</v>
      </c>
      <c r="E1160" s="34">
        <v>0</v>
      </c>
      <c r="F1160" s="34">
        <v>301</v>
      </c>
      <c r="G1160" s="34">
        <v>0</v>
      </c>
      <c r="H1160" s="34"/>
      <c r="I1160" s="34" t="s">
        <v>1561</v>
      </c>
      <c r="J1160" s="34" t="s">
        <v>1561</v>
      </c>
      <c r="K1160" s="107" t="s">
        <v>1561</v>
      </c>
      <c r="L1160" s="34" t="s">
        <v>1561</v>
      </c>
    </row>
    <row r="1161" spans="1:12" ht="16.5" x14ac:dyDescent="0.35">
      <c r="A1161" s="109" t="str">
        <f>HYPERLINK("http://www.examplebusiness.comp/financial-planning","http://www.examplebusiness.comp/financial-planning")</f>
        <v>http://www.examplebusiness.comp/financial-planning</v>
      </c>
      <c r="B1161" s="34">
        <v>4</v>
      </c>
      <c r="C1161" s="34">
        <v>0</v>
      </c>
      <c r="D1161" s="34">
        <v>0</v>
      </c>
      <c r="E1161" s="34">
        <v>0</v>
      </c>
      <c r="F1161" s="34">
        <v>301</v>
      </c>
      <c r="G1161" s="34">
        <v>0</v>
      </c>
      <c r="H1161" s="34"/>
      <c r="I1161" s="34" t="s">
        <v>1561</v>
      </c>
      <c r="J1161" s="34" t="s">
        <v>1561</v>
      </c>
      <c r="K1161" s="107" t="s">
        <v>1561</v>
      </c>
      <c r="L1161" s="34" t="s">
        <v>1561</v>
      </c>
    </row>
    <row r="1162" spans="1:12" ht="16.5" x14ac:dyDescent="0.35">
      <c r="A1162" s="109" t="str">
        <f>HYPERLINK("http://www.examplebusiness.comresource-center/estate/revising-estate-strategy-assumptions","http://www.examplebusiness.comresource-center/estate/revising-estate-strategy-assumptions")</f>
        <v>http://www.examplebusiness.comresource-center/estate/revising-estate-strategy-assumptions</v>
      </c>
      <c r="B1162" s="34">
        <v>4</v>
      </c>
      <c r="C1162" s="34">
        <v>0</v>
      </c>
      <c r="D1162" s="34">
        <v>0</v>
      </c>
      <c r="E1162" s="34">
        <v>0</v>
      </c>
      <c r="F1162" s="34">
        <v>301</v>
      </c>
      <c r="G1162" s="34">
        <v>0</v>
      </c>
      <c r="H1162" s="34"/>
      <c r="I1162" s="34" t="s">
        <v>1561</v>
      </c>
      <c r="J1162" s="34" t="s">
        <v>1561</v>
      </c>
      <c r="K1162" s="107" t="s">
        <v>1561</v>
      </c>
      <c r="L1162" s="34" t="s">
        <v>1561</v>
      </c>
    </row>
    <row r="1163" spans="1:12" ht="16.5" x14ac:dyDescent="0.35">
      <c r="A1163" s="109" t="str">
        <f>HYPERLINK("http://www.examplebusiness.comresource-center/estate/yours-mine-and-ours-estate-strategies-for-second-marriages","http://www.examplebusiness.comresource-center/estate/yours-mine-and-ours-estate-strategies-for-second-marriages")</f>
        <v>http://www.examplebusiness.comresource-center/estate/yours-mine-and-ours-estate-strategies-for-second-marriages</v>
      </c>
      <c r="B1163" s="34">
        <v>4</v>
      </c>
      <c r="C1163" s="34">
        <v>0</v>
      </c>
      <c r="D1163" s="34">
        <v>0</v>
      </c>
      <c r="E1163" s="34">
        <v>0</v>
      </c>
      <c r="F1163" s="34">
        <v>301</v>
      </c>
      <c r="G1163" s="34">
        <v>0</v>
      </c>
      <c r="H1163" s="34"/>
      <c r="I1163" s="34" t="s">
        <v>1561</v>
      </c>
      <c r="J1163" s="34" t="s">
        <v>1561</v>
      </c>
      <c r="K1163" s="107" t="s">
        <v>1561</v>
      </c>
      <c r="L1163" s="34" t="s">
        <v>1561</v>
      </c>
    </row>
    <row r="1164" spans="1:12" ht="16.5" x14ac:dyDescent="0.35">
      <c r="A1164" s="109" t="str">
        <f>HYPERLINK("http://www.examplebusiness.comresource-center/insurance/assess-your-life-insurance-needs","http://www.examplebusiness.comresource-center/insurance/assess-your-life-insurance-needs")</f>
        <v>http://www.examplebusiness.comresource-center/insurance/assess-your-life-insurance-needs</v>
      </c>
      <c r="B1164" s="34">
        <v>4</v>
      </c>
      <c r="C1164" s="34">
        <v>0</v>
      </c>
      <c r="D1164" s="34">
        <v>0</v>
      </c>
      <c r="E1164" s="34">
        <v>0</v>
      </c>
      <c r="F1164" s="34">
        <v>301</v>
      </c>
      <c r="G1164" s="34">
        <v>0</v>
      </c>
      <c r="H1164" s="34"/>
      <c r="I1164" s="34" t="s">
        <v>1561</v>
      </c>
      <c r="J1164" s="34" t="s">
        <v>1561</v>
      </c>
      <c r="K1164" s="107" t="s">
        <v>1561</v>
      </c>
      <c r="L1164" s="34" t="s">
        <v>1561</v>
      </c>
    </row>
    <row r="1165" spans="1:12" ht="16.5" x14ac:dyDescent="0.35">
      <c r="A1165" s="109" t="str">
        <f>HYPERLINK("http://www.examplebusiness.comresource-center/insurance/protecting-your-home-against-flood-loss","http://www.examplebusiness.comresource-center/insurance/protecting-your-home-against-flood-loss")</f>
        <v>http://www.examplebusiness.comresource-center/insurance/protecting-your-home-against-flood-loss</v>
      </c>
      <c r="B1165" s="34">
        <v>4</v>
      </c>
      <c r="C1165" s="34">
        <v>0</v>
      </c>
      <c r="D1165" s="34">
        <v>0</v>
      </c>
      <c r="E1165" s="34">
        <v>0</v>
      </c>
      <c r="F1165" s="34">
        <v>301</v>
      </c>
      <c r="G1165" s="34">
        <v>0</v>
      </c>
      <c r="H1165" s="34"/>
      <c r="I1165" s="34" t="s">
        <v>1561</v>
      </c>
      <c r="J1165" s="34" t="s">
        <v>1561</v>
      </c>
      <c r="K1165" s="107" t="s">
        <v>1561</v>
      </c>
      <c r="L1165" s="34" t="s">
        <v>1561</v>
      </c>
    </row>
    <row r="1166" spans="1:12" ht="16.5" x14ac:dyDescent="0.35">
      <c r="A1166" s="109" t="str">
        <f>HYPERLINK("http://www.examplebusiness.comresource-center/insurance/understanding-homeowners-insurance","http://www.examplebusiness.comresource-center/insurance/understanding-homeowners-insurance")</f>
        <v>http://www.examplebusiness.comresource-center/insurance/understanding-homeowners-insurance</v>
      </c>
      <c r="B1166" s="34">
        <v>4</v>
      </c>
      <c r="C1166" s="34">
        <v>0</v>
      </c>
      <c r="D1166" s="34">
        <v>0</v>
      </c>
      <c r="E1166" s="34">
        <v>0</v>
      </c>
      <c r="F1166" s="34">
        <v>301</v>
      </c>
      <c r="G1166" s="34">
        <v>0</v>
      </c>
      <c r="H1166" s="34"/>
      <c r="I1166" s="34" t="s">
        <v>1561</v>
      </c>
      <c r="J1166" s="34" t="s">
        <v>1561</v>
      </c>
      <c r="K1166" s="107" t="s">
        <v>1561</v>
      </c>
      <c r="L1166" s="34" t="s">
        <v>1561</v>
      </c>
    </row>
    <row r="1167" spans="1:12" ht="16.5" x14ac:dyDescent="0.35">
      <c r="A1167" s="109" t="str">
        <f>HYPERLINK("http://www.examplebusiness.comresource-center/insurance/what-to-look-for-in-a-long-term-care-policy","http://www.examplebusiness.comresource-center/insurance/what-to-look-for-in-a-long-term-care-policy")</f>
        <v>http://www.examplebusiness.comresource-center/insurance/what-to-look-for-in-a-long-term-care-policy</v>
      </c>
      <c r="B1167" s="34">
        <v>4</v>
      </c>
      <c r="C1167" s="34">
        <v>0</v>
      </c>
      <c r="D1167" s="34">
        <v>0</v>
      </c>
      <c r="E1167" s="34">
        <v>0</v>
      </c>
      <c r="F1167" s="34">
        <v>301</v>
      </c>
      <c r="G1167" s="34">
        <v>0</v>
      </c>
      <c r="H1167" s="34"/>
      <c r="I1167" s="34" t="s">
        <v>1561</v>
      </c>
      <c r="J1167" s="34" t="s">
        <v>1561</v>
      </c>
      <c r="K1167" s="107" t="s">
        <v>1561</v>
      </c>
      <c r="L1167" s="34" t="s">
        <v>1561</v>
      </c>
    </row>
    <row r="1168" spans="1:12" ht="16.5" x14ac:dyDescent="0.35">
      <c r="A1168" s="109" t="str">
        <f>HYPERLINK("http://www.examplebusiness.comresource-center/insurance/when-life-insurance-becomes-taxable","http://www.examplebusiness.comresource-center/insurance/when-life-insurance-becomes-taxable")</f>
        <v>http://www.examplebusiness.comresource-center/insurance/when-life-insurance-becomes-taxable</v>
      </c>
      <c r="B1168" s="34">
        <v>4</v>
      </c>
      <c r="C1168" s="34">
        <v>0</v>
      </c>
      <c r="D1168" s="34">
        <v>0</v>
      </c>
      <c r="E1168" s="34">
        <v>0</v>
      </c>
      <c r="F1168" s="34">
        <v>301</v>
      </c>
      <c r="G1168" s="34">
        <v>0</v>
      </c>
      <c r="H1168" s="34"/>
      <c r="I1168" s="34" t="s">
        <v>1561</v>
      </c>
      <c r="J1168" s="34" t="s">
        <v>1561</v>
      </c>
      <c r="K1168" s="107" t="s">
        <v>1561</v>
      </c>
      <c r="L1168" s="34" t="s">
        <v>1561</v>
      </c>
    </row>
    <row r="1169" spans="1:12" ht="16.5" x14ac:dyDescent="0.35">
      <c r="A1169" s="109" t="str">
        <f>HYPERLINK("http://www.examplebusiness.comresource-center/investment/a-look-at-diversification","http://www.examplebusiness.comresource-center/investment/a-look-at-diversification")</f>
        <v>http://www.examplebusiness.comresource-center/investment/a-look-at-diversification</v>
      </c>
      <c r="B1169" s="34">
        <v>4</v>
      </c>
      <c r="C1169" s="34">
        <v>0</v>
      </c>
      <c r="D1169" s="34">
        <v>0</v>
      </c>
      <c r="E1169" s="34">
        <v>0</v>
      </c>
      <c r="F1169" s="34">
        <v>301</v>
      </c>
      <c r="G1169" s="34">
        <v>0</v>
      </c>
      <c r="H1169" s="34"/>
      <c r="I1169" s="34" t="s">
        <v>1561</v>
      </c>
      <c r="J1169" s="34" t="s">
        <v>1561</v>
      </c>
      <c r="K1169" s="107" t="s">
        <v>1561</v>
      </c>
      <c r="L1169" s="34" t="s">
        <v>1561</v>
      </c>
    </row>
    <row r="1170" spans="1:12" ht="16.5" x14ac:dyDescent="0.35">
      <c r="A1170" s="109" t="str">
        <f>HYPERLINK("http://www.examplebusiness.comresource-center/investment/asset-allocation","http://www.examplebusiness.comresource-center/investment/asset-allocation")</f>
        <v>http://www.examplebusiness.comresource-center/investment/asset-allocation</v>
      </c>
      <c r="B1170" s="34">
        <v>4</v>
      </c>
      <c r="C1170" s="34">
        <v>0</v>
      </c>
      <c r="D1170" s="34">
        <v>0</v>
      </c>
      <c r="E1170" s="34">
        <v>0</v>
      </c>
      <c r="F1170" s="34">
        <v>301</v>
      </c>
      <c r="G1170" s="34">
        <v>0</v>
      </c>
      <c r="H1170" s="34"/>
      <c r="I1170" s="34" t="s">
        <v>1561</v>
      </c>
      <c r="J1170" s="34" t="s">
        <v>1561</v>
      </c>
      <c r="K1170" s="107" t="s">
        <v>1561</v>
      </c>
      <c r="L1170" s="34" t="s">
        <v>1561</v>
      </c>
    </row>
    <row r="1171" spans="1:12" ht="16.5" x14ac:dyDescent="0.35">
      <c r="A1171" s="109" t="str">
        <f>HYPERLINK("http://www.examplebusiness.comresource-center/investment/estimating-the-cost-of-college","http://www.examplebusiness.comresource-center/investment/estimating-the-cost-of-college")</f>
        <v>http://www.examplebusiness.comresource-center/investment/estimating-the-cost-of-college</v>
      </c>
      <c r="B1171" s="34">
        <v>4</v>
      </c>
      <c r="C1171" s="34">
        <v>0</v>
      </c>
      <c r="D1171" s="34">
        <v>0</v>
      </c>
      <c r="E1171" s="34">
        <v>0</v>
      </c>
      <c r="F1171" s="34">
        <v>301</v>
      </c>
      <c r="G1171" s="34">
        <v>0</v>
      </c>
      <c r="H1171" s="34"/>
      <c r="I1171" s="34" t="s">
        <v>1561</v>
      </c>
      <c r="J1171" s="34" t="s">
        <v>1561</v>
      </c>
      <c r="K1171" s="107" t="s">
        <v>1561</v>
      </c>
      <c r="L1171" s="34" t="s">
        <v>1561</v>
      </c>
    </row>
    <row r="1172" spans="1:12" ht="16.5" x14ac:dyDescent="0.35">
      <c r="A1172" s="109" t="str">
        <f>HYPERLINK("http://www.examplebusiness.comresource-center/investment/four-really-good-reasons-to-invest","http://www.examplebusiness.comresource-center/investment/four-really-good-reasons-to-invest")</f>
        <v>http://www.examplebusiness.comresource-center/investment/four-really-good-reasons-to-invest</v>
      </c>
      <c r="B1172" s="34">
        <v>4</v>
      </c>
      <c r="C1172" s="34">
        <v>0</v>
      </c>
      <c r="D1172" s="34">
        <v>0</v>
      </c>
      <c r="E1172" s="34">
        <v>0</v>
      </c>
      <c r="F1172" s="34">
        <v>301</v>
      </c>
      <c r="G1172" s="34">
        <v>0</v>
      </c>
      <c r="H1172" s="34"/>
      <c r="I1172" s="34" t="s">
        <v>1561</v>
      </c>
      <c r="J1172" s="34" t="s">
        <v>1561</v>
      </c>
      <c r="K1172" s="107" t="s">
        <v>1561</v>
      </c>
      <c r="L1172" s="34" t="s">
        <v>1561</v>
      </c>
    </row>
    <row r="1173" spans="1:12" ht="16.5" x14ac:dyDescent="0.35">
      <c r="A1173" s="109" t="str">
        <f>HYPERLINK("http://www.examplebusiness.comresource-center/investment/saving-for-college","http://www.examplebusiness.comresource-center/investment/saving-for-college")</f>
        <v>http://www.examplebusiness.comresource-center/investment/saving-for-college</v>
      </c>
      <c r="B1173" s="34">
        <v>4</v>
      </c>
      <c r="C1173" s="34">
        <v>0</v>
      </c>
      <c r="D1173" s="34">
        <v>0</v>
      </c>
      <c r="E1173" s="34">
        <v>0</v>
      </c>
      <c r="F1173" s="34">
        <v>301</v>
      </c>
      <c r="G1173" s="34">
        <v>0</v>
      </c>
      <c r="H1173" s="34"/>
      <c r="I1173" s="34" t="s">
        <v>1561</v>
      </c>
      <c r="J1173" s="34" t="s">
        <v>1561</v>
      </c>
      <c r="K1173" s="107" t="s">
        <v>1561</v>
      </c>
      <c r="L1173" s="34" t="s">
        <v>1561</v>
      </c>
    </row>
    <row r="1174" spans="1:12" ht="16.5" x14ac:dyDescent="0.35">
      <c r="A1174" s="109" t="str">
        <f>HYPERLINK("http://www.examplebusiness.comresource-center/investment/what-can-a-million-dollars-buy-you","http://www.examplebusiness.comresource-center/investment/what-can-a-million-dollars-buy-you")</f>
        <v>http://www.examplebusiness.comresource-center/investment/what-can-a-million-dollars-buy-you</v>
      </c>
      <c r="B1174" s="34">
        <v>4</v>
      </c>
      <c r="C1174" s="34">
        <v>0</v>
      </c>
      <c r="D1174" s="34">
        <v>0</v>
      </c>
      <c r="E1174" s="34">
        <v>0</v>
      </c>
      <c r="F1174" s="34">
        <v>301</v>
      </c>
      <c r="G1174" s="34">
        <v>0</v>
      </c>
      <c r="H1174" s="34"/>
      <c r="I1174" s="34" t="s">
        <v>1561</v>
      </c>
      <c r="J1174" s="34" t="s">
        <v>1561</v>
      </c>
      <c r="K1174" s="107" t="s">
        <v>1561</v>
      </c>
      <c r="L1174" s="34" t="s">
        <v>1561</v>
      </c>
    </row>
    <row r="1175" spans="1:12" ht="16.5" x14ac:dyDescent="0.35">
      <c r="A1175" s="109" t="str">
        <f>HYPERLINK("http://www.examplebusiness.comresource-center/investment/what-is-my-risk-tolerance","http://www.examplebusiness.comresource-center/investment/what-is-my-risk-tolerance")</f>
        <v>http://www.examplebusiness.comresource-center/investment/what-is-my-risk-tolerance</v>
      </c>
      <c r="B1175" s="34">
        <v>4</v>
      </c>
      <c r="C1175" s="34">
        <v>0</v>
      </c>
      <c r="D1175" s="34">
        <v>0</v>
      </c>
      <c r="E1175" s="34">
        <v>0</v>
      </c>
      <c r="F1175" s="34">
        <v>301</v>
      </c>
      <c r="G1175" s="34">
        <v>0</v>
      </c>
      <c r="H1175" s="34"/>
      <c r="I1175" s="34" t="s">
        <v>1561</v>
      </c>
      <c r="J1175" s="34" t="s">
        <v>1561</v>
      </c>
      <c r="K1175" s="107" t="s">
        <v>1561</v>
      </c>
      <c r="L1175" s="34" t="s">
        <v>1561</v>
      </c>
    </row>
    <row r="1176" spans="1:12" ht="16.5" x14ac:dyDescent="0.35">
      <c r="A1176" s="109" t="str">
        <f>HYPERLINK("http://www.examplebusiness.comresource-center/investment/what-smart-investors-know","http://www.examplebusiness.comresource-center/investment/what-smart-investors-know")</f>
        <v>http://www.examplebusiness.comresource-center/investment/what-smart-investors-know</v>
      </c>
      <c r="B1176" s="34">
        <v>4</v>
      </c>
      <c r="C1176" s="34">
        <v>0</v>
      </c>
      <c r="D1176" s="34">
        <v>0</v>
      </c>
      <c r="E1176" s="34">
        <v>0</v>
      </c>
      <c r="F1176" s="34">
        <v>301</v>
      </c>
      <c r="G1176" s="34">
        <v>0</v>
      </c>
      <c r="H1176" s="34"/>
      <c r="I1176" s="34" t="s">
        <v>1561</v>
      </c>
      <c r="J1176" s="34" t="s">
        <v>1561</v>
      </c>
      <c r="K1176" s="107" t="s">
        <v>1561</v>
      </c>
      <c r="L1176" s="34" t="s">
        <v>1561</v>
      </c>
    </row>
    <row r="1177" spans="1:12" ht="16.5" x14ac:dyDescent="0.35">
      <c r="A1177" s="109" t="str">
        <f>HYPERLINK("http://www.examplebusiness.comresource-center/lifestyle/lots-of-variables-with-fixed-rate-mortgages","http://www.examplebusiness.comresource-center/lifestyle/lots-of-variables-with-fixed-rate-mortgages")</f>
        <v>http://www.examplebusiness.comresource-center/lifestyle/lots-of-variables-with-fixed-rate-mortgages</v>
      </c>
      <c r="B1177" s="34">
        <v>4</v>
      </c>
      <c r="C1177" s="34">
        <v>0</v>
      </c>
      <c r="D1177" s="34">
        <v>0</v>
      </c>
      <c r="E1177" s="34">
        <v>0</v>
      </c>
      <c r="F1177" s="34">
        <v>301</v>
      </c>
      <c r="G1177" s="34">
        <v>0</v>
      </c>
      <c r="H1177" s="34"/>
      <c r="I1177" s="34" t="s">
        <v>1561</v>
      </c>
      <c r="J1177" s="34" t="s">
        <v>1561</v>
      </c>
      <c r="K1177" s="107" t="s">
        <v>1561</v>
      </c>
      <c r="L1177" s="34" t="s">
        <v>1561</v>
      </c>
    </row>
    <row r="1178" spans="1:12" ht="16.5" x14ac:dyDescent="0.35">
      <c r="A1178" s="109" t="str">
        <f>HYPERLINK("http://www.examplebusiness.comresource-center/lifestyle/stop-wasting-money","http://www.examplebusiness.comresource-center/lifestyle/stop-wasting-money")</f>
        <v>http://www.examplebusiness.comresource-center/lifestyle/stop-wasting-money</v>
      </c>
      <c r="B1178" s="34">
        <v>4</v>
      </c>
      <c r="C1178" s="34">
        <v>0</v>
      </c>
      <c r="D1178" s="34">
        <v>0</v>
      </c>
      <c r="E1178" s="34">
        <v>0</v>
      </c>
      <c r="F1178" s="34">
        <v>301</v>
      </c>
      <c r="G1178" s="34">
        <v>0</v>
      </c>
      <c r="H1178" s="34"/>
      <c r="I1178" s="34" t="s">
        <v>1561</v>
      </c>
      <c r="J1178" s="34" t="s">
        <v>1561</v>
      </c>
      <c r="K1178" s="107" t="s">
        <v>1561</v>
      </c>
      <c r="L1178" s="34" t="s">
        <v>1561</v>
      </c>
    </row>
    <row r="1179" spans="1:12" ht="16.5" x14ac:dyDescent="0.35">
      <c r="A1179" s="109" t="str">
        <f>HYPERLINK("http://www.examplebusiness.comresource-center/money/life-and-death-of-a-20-dollar-bill","http://www.examplebusiness.comresource-center/money/life-and-death-of-a-20-dollar-bill")</f>
        <v>http://www.examplebusiness.comresource-center/money/life-and-death-of-a-20-dollar-bill</v>
      </c>
      <c r="B1179" s="34">
        <v>4</v>
      </c>
      <c r="C1179" s="34">
        <v>0</v>
      </c>
      <c r="D1179" s="34">
        <v>0</v>
      </c>
      <c r="E1179" s="34">
        <v>0</v>
      </c>
      <c r="F1179" s="34">
        <v>301</v>
      </c>
      <c r="G1179" s="34">
        <v>0</v>
      </c>
      <c r="H1179" s="34"/>
      <c r="I1179" s="34" t="s">
        <v>1561</v>
      </c>
      <c r="J1179" s="34" t="s">
        <v>1561</v>
      </c>
      <c r="K1179" s="107" t="s">
        <v>1561</v>
      </c>
      <c r="L1179" s="34" t="s">
        <v>1561</v>
      </c>
    </row>
    <row r="1180" spans="1:12" ht="16.5" x14ac:dyDescent="0.35">
      <c r="A1180" s="109" t="str">
        <f>HYPERLINK("http://www.examplebusiness.comresource-center/money/strategies-for-managing-student-loan-debt","http://www.examplebusiness.comresource-center/money/strategies-for-managing-student-loan-debt")</f>
        <v>http://www.examplebusiness.comresource-center/money/strategies-for-managing-student-loan-debt</v>
      </c>
      <c r="B1180" s="34">
        <v>4</v>
      </c>
      <c r="C1180" s="34">
        <v>0</v>
      </c>
      <c r="D1180" s="34">
        <v>0</v>
      </c>
      <c r="E1180" s="34">
        <v>0</v>
      </c>
      <c r="F1180" s="34">
        <v>301</v>
      </c>
      <c r="G1180" s="34">
        <v>0</v>
      </c>
      <c r="H1180" s="34"/>
      <c r="I1180" s="34" t="s">
        <v>1561</v>
      </c>
      <c r="J1180" s="34" t="s">
        <v>1561</v>
      </c>
      <c r="K1180" s="107" t="s">
        <v>1561</v>
      </c>
      <c r="L1180" s="34" t="s">
        <v>1561</v>
      </c>
    </row>
    <row r="1181" spans="1:12" ht="16.5" x14ac:dyDescent="0.35">
      <c r="A1181" s="109" t="str">
        <f>HYPERLINK("http://www.examplebusiness.comresource-center/money/the-half-million-dollar-baby","http://www.examplebusiness.comresource-center/money/the-half-million-dollar-baby")</f>
        <v>http://www.examplebusiness.comresource-center/money/the-half-million-dollar-baby</v>
      </c>
      <c r="B1181" s="34">
        <v>4</v>
      </c>
      <c r="C1181" s="34">
        <v>0</v>
      </c>
      <c r="D1181" s="34">
        <v>0</v>
      </c>
      <c r="E1181" s="34">
        <v>0</v>
      </c>
      <c r="F1181" s="34">
        <v>301</v>
      </c>
      <c r="G1181" s="34">
        <v>0</v>
      </c>
      <c r="H1181" s="34"/>
      <c r="I1181" s="34" t="s">
        <v>1561</v>
      </c>
      <c r="J1181" s="34" t="s">
        <v>1561</v>
      </c>
      <c r="K1181" s="107" t="s">
        <v>1561</v>
      </c>
      <c r="L1181" s="34" t="s">
        <v>1561</v>
      </c>
    </row>
    <row r="1182" spans="1:12" ht="16.5" x14ac:dyDescent="0.35">
      <c r="A1182" s="109" t="str">
        <f>HYPERLINK("http://www.examplebusiness.comresource-center/money/what-is-my-current-cash-flow","http://www.examplebusiness.comresource-center/money/what-is-my-current-cash-flow")</f>
        <v>http://www.examplebusiness.comresource-center/money/what-is-my-current-cash-flow</v>
      </c>
      <c r="B1182" s="34">
        <v>4</v>
      </c>
      <c r="C1182" s="34">
        <v>0</v>
      </c>
      <c r="D1182" s="34">
        <v>0</v>
      </c>
      <c r="E1182" s="34">
        <v>0</v>
      </c>
      <c r="F1182" s="34">
        <v>301</v>
      </c>
      <c r="G1182" s="34">
        <v>0</v>
      </c>
      <c r="H1182" s="34"/>
      <c r="I1182" s="34" t="s">
        <v>1561</v>
      </c>
      <c r="J1182" s="34" t="s">
        <v>1561</v>
      </c>
      <c r="K1182" s="107" t="s">
        <v>1561</v>
      </c>
      <c r="L1182" s="34" t="s">
        <v>1561</v>
      </c>
    </row>
    <row r="1183" spans="1:12" ht="16.5" x14ac:dyDescent="0.35">
      <c r="A1183" s="109" t="str">
        <f>HYPERLINK("http://www.examplebusiness.comresource-center/money/your-emergency-fund-how-much-is-enough","http://www.examplebusiness.comresource-center/money/your-emergency-fund-how-much-is-enough")</f>
        <v>http://www.examplebusiness.comresource-center/money/your-emergency-fund-how-much-is-enough</v>
      </c>
      <c r="B1183" s="34">
        <v>4</v>
      </c>
      <c r="C1183" s="34">
        <v>0</v>
      </c>
      <c r="D1183" s="34">
        <v>0</v>
      </c>
      <c r="E1183" s="34">
        <v>0</v>
      </c>
      <c r="F1183" s="34">
        <v>301</v>
      </c>
      <c r="G1183" s="34">
        <v>0</v>
      </c>
      <c r="H1183" s="34"/>
      <c r="I1183" s="34" t="s">
        <v>1561</v>
      </c>
      <c r="J1183" s="34" t="s">
        <v>1561</v>
      </c>
      <c r="K1183" s="107" t="s">
        <v>1561</v>
      </c>
      <c r="L1183" s="34" t="s">
        <v>1561</v>
      </c>
    </row>
    <row r="1184" spans="1:12" ht="16.5" x14ac:dyDescent="0.35">
      <c r="A1184" s="109" t="str">
        <f>HYPERLINK("http://www.examplebusiness.comresource-center/retirement/a-bucket-plan","http://www.examplebusiness.comresource-center/retirement/a-bucket-plan")</f>
        <v>http://www.examplebusiness.comresource-center/retirement/a-bucket-plan</v>
      </c>
      <c r="B1184" s="34">
        <v>4</v>
      </c>
      <c r="C1184" s="34">
        <v>0</v>
      </c>
      <c r="D1184" s="34">
        <v>0</v>
      </c>
      <c r="E1184" s="34">
        <v>0</v>
      </c>
      <c r="F1184" s="34">
        <v>301</v>
      </c>
      <c r="G1184" s="34">
        <v>0</v>
      </c>
      <c r="H1184" s="34"/>
      <c r="I1184" s="34" t="s">
        <v>1561</v>
      </c>
      <c r="J1184" s="34" t="s">
        <v>1561</v>
      </c>
      <c r="K1184" s="107" t="s">
        <v>1561</v>
      </c>
      <c r="L1184" s="34" t="s">
        <v>1561</v>
      </c>
    </row>
    <row r="1185" spans="1:12" ht="16.5" x14ac:dyDescent="0.35">
      <c r="A1185" s="109" t="str">
        <f>HYPERLINK("http://www.examplebusiness.comresource-center/retirement/catch-up-contributions","http://www.examplebusiness.comresource-center/retirement/catch-up-contributions")</f>
        <v>http://www.examplebusiness.comresource-center/retirement/catch-up-contributions</v>
      </c>
      <c r="B1185" s="34">
        <v>4</v>
      </c>
      <c r="C1185" s="34">
        <v>0</v>
      </c>
      <c r="D1185" s="34">
        <v>0</v>
      </c>
      <c r="E1185" s="34">
        <v>0</v>
      </c>
      <c r="F1185" s="34">
        <v>301</v>
      </c>
      <c r="G1185" s="34">
        <v>0</v>
      </c>
      <c r="H1185" s="34"/>
      <c r="I1185" s="34" t="s">
        <v>1561</v>
      </c>
      <c r="J1185" s="34" t="s">
        <v>1561</v>
      </c>
      <c r="K1185" s="107" t="s">
        <v>1561</v>
      </c>
      <c r="L1185" s="34" t="s">
        <v>1561</v>
      </c>
    </row>
    <row r="1186" spans="1:12" ht="16.5" x14ac:dyDescent="0.35">
      <c r="A1186" s="109" t="str">
        <f>HYPERLINK("http://www.examplebusiness.comresource-center/retirement/retiring-the-4-percent-rule","http://www.examplebusiness.comresource-center/retirement/retiring-the-4-percent-rule")</f>
        <v>http://www.examplebusiness.comresource-center/retirement/retiring-the-4-percent-rule</v>
      </c>
      <c r="B1186" s="34">
        <v>4</v>
      </c>
      <c r="C1186" s="34">
        <v>0</v>
      </c>
      <c r="D1186" s="34">
        <v>0</v>
      </c>
      <c r="E1186" s="34">
        <v>0</v>
      </c>
      <c r="F1186" s="34">
        <v>301</v>
      </c>
      <c r="G1186" s="34">
        <v>0</v>
      </c>
      <c r="H1186" s="34"/>
      <c r="I1186" s="34" t="s">
        <v>1561</v>
      </c>
      <c r="J1186" s="34" t="s">
        <v>1561</v>
      </c>
      <c r="K1186" s="107" t="s">
        <v>1561</v>
      </c>
      <c r="L1186" s="34" t="s">
        <v>1561</v>
      </c>
    </row>
    <row r="1187" spans="1:12" ht="16.5" x14ac:dyDescent="0.35">
      <c r="A1187" s="109" t="str">
        <f>HYPERLINK("http://www.examplebusiness.comresource-center/retirement/social-security-the-64000-dollar-question","http://www.examplebusiness.comresource-center/retirement/social-security-the-64000-dollar-question")</f>
        <v>http://www.examplebusiness.comresource-center/retirement/social-security-the-64000-dollar-question</v>
      </c>
      <c r="B1187" s="34">
        <v>4</v>
      </c>
      <c r="C1187" s="34">
        <v>0</v>
      </c>
      <c r="D1187" s="34">
        <v>0</v>
      </c>
      <c r="E1187" s="34">
        <v>0</v>
      </c>
      <c r="F1187" s="34">
        <v>301</v>
      </c>
      <c r="G1187" s="34">
        <v>0</v>
      </c>
      <c r="H1187" s="34"/>
      <c r="I1187" s="34" t="s">
        <v>1561</v>
      </c>
      <c r="J1187" s="34" t="s">
        <v>1561</v>
      </c>
      <c r="K1187" s="107" t="s">
        <v>1561</v>
      </c>
      <c r="L1187" s="34" t="s">
        <v>1561</v>
      </c>
    </row>
    <row r="1188" spans="1:12" ht="16.5" x14ac:dyDescent="0.35">
      <c r="A1188" s="109" t="str">
        <f>HYPERLINK("http://www.examplebusiness.comresource-center/retirement/what-is-a-stretch-ira","http://www.examplebusiness.comresource-center/retirement/what-is-a-stretch-ira")</f>
        <v>http://www.examplebusiness.comresource-center/retirement/what-is-a-stretch-ira</v>
      </c>
      <c r="B1188" s="34">
        <v>4</v>
      </c>
      <c r="C1188" s="34">
        <v>0</v>
      </c>
      <c r="D1188" s="34">
        <v>0</v>
      </c>
      <c r="E1188" s="34">
        <v>0</v>
      </c>
      <c r="F1188" s="34">
        <v>301</v>
      </c>
      <c r="G1188" s="34">
        <v>0</v>
      </c>
      <c r="H1188" s="34"/>
      <c r="I1188" s="34" t="s">
        <v>1561</v>
      </c>
      <c r="J1188" s="34" t="s">
        <v>1561</v>
      </c>
      <c r="K1188" s="107" t="s">
        <v>1561</v>
      </c>
      <c r="L1188" s="34" t="s">
        <v>1561</v>
      </c>
    </row>
    <row r="1189" spans="1:12" ht="16.5" x14ac:dyDescent="0.35">
      <c r="A1189" s="109" t="str">
        <f>HYPERLINK("http://www.examplebusiness.comresource-center/retirement/your-changing-definition-of-risk-in-retirement","http://www.examplebusiness.comresource-center/retirement/your-changing-definition-of-risk-in-retirement")</f>
        <v>http://www.examplebusiness.comresource-center/retirement/your-changing-definition-of-risk-in-retirement</v>
      </c>
      <c r="B1189" s="34">
        <v>4</v>
      </c>
      <c r="C1189" s="34">
        <v>0</v>
      </c>
      <c r="D1189" s="34">
        <v>0</v>
      </c>
      <c r="E1189" s="34">
        <v>0</v>
      </c>
      <c r="F1189" s="34">
        <v>301</v>
      </c>
      <c r="G1189" s="34">
        <v>0</v>
      </c>
      <c r="H1189" s="34"/>
      <c r="I1189" s="34" t="s">
        <v>1561</v>
      </c>
      <c r="J1189" s="34" t="s">
        <v>1561</v>
      </c>
      <c r="K1189" s="107" t="s">
        <v>1561</v>
      </c>
      <c r="L1189" s="34" t="s">
        <v>1561</v>
      </c>
    </row>
    <row r="1190" spans="1:12" ht="16.5" x14ac:dyDescent="0.35">
      <c r="A1190" s="109" t="str">
        <f>HYPERLINK("http://www.examplebusiness.comresource-center/tax/does-your-child-need-to-file-a-tax-return","http://www.examplebusiness.comresource-center/tax/does-your-child-need-to-file-a-tax-return")</f>
        <v>http://www.examplebusiness.comresource-center/tax/does-your-child-need-to-file-a-tax-return</v>
      </c>
      <c r="B1190" s="34">
        <v>4</v>
      </c>
      <c r="C1190" s="34">
        <v>0</v>
      </c>
      <c r="D1190" s="34">
        <v>0</v>
      </c>
      <c r="E1190" s="34">
        <v>0</v>
      </c>
      <c r="F1190" s="34">
        <v>301</v>
      </c>
      <c r="G1190" s="34">
        <v>0</v>
      </c>
      <c r="H1190" s="34"/>
      <c r="I1190" s="34" t="s">
        <v>1561</v>
      </c>
      <c r="J1190" s="34" t="s">
        <v>1561</v>
      </c>
      <c r="K1190" s="107" t="s">
        <v>1561</v>
      </c>
      <c r="L1190" s="34" t="s">
        <v>1561</v>
      </c>
    </row>
    <row r="1191" spans="1:12" ht="16.5" x14ac:dyDescent="0.35">
      <c r="A1191" s="109" t="str">
        <f>HYPERLINK("http://www.examplebusiness.comresource-center/tax/what-if-you-get-audited","http://www.examplebusiness.comresource-center/tax/what-if-you-get-audited")</f>
        <v>http://www.examplebusiness.comresource-center/tax/what-if-you-get-audited</v>
      </c>
      <c r="B1191" s="34">
        <v>4</v>
      </c>
      <c r="C1191" s="34">
        <v>0</v>
      </c>
      <c r="D1191" s="34">
        <v>0</v>
      </c>
      <c r="E1191" s="34">
        <v>0</v>
      </c>
      <c r="F1191" s="34">
        <v>301</v>
      </c>
      <c r="G1191" s="34">
        <v>0</v>
      </c>
      <c r="H1191" s="34"/>
      <c r="I1191" s="34" t="s">
        <v>1561</v>
      </c>
      <c r="J1191" s="34" t="s">
        <v>1561</v>
      </c>
      <c r="K1191" s="107" t="s">
        <v>1561</v>
      </c>
      <c r="L1191" s="34" t="s">
        <v>1561</v>
      </c>
    </row>
    <row r="1192" spans="1:12" ht="16.5" x14ac:dyDescent="0.35">
      <c r="A1192" s="109" t="str">
        <f>HYPERLINK("http://www.examplebusiness.comteam/jessica-mcmahon","http://www.examplebusiness.comteam/jessica-mcmahon")</f>
        <v>http://www.examplebusiness.comteam/jessica-mcmahon</v>
      </c>
      <c r="B1192" s="34">
        <v>4</v>
      </c>
      <c r="C1192" s="34">
        <v>0</v>
      </c>
      <c r="D1192" s="34">
        <v>0</v>
      </c>
      <c r="E1192" s="34">
        <v>0</v>
      </c>
      <c r="F1192" s="34">
        <v>301</v>
      </c>
      <c r="G1192" s="34">
        <v>0</v>
      </c>
      <c r="H1192" s="34"/>
      <c r="I1192" s="34" t="s">
        <v>1561</v>
      </c>
      <c r="J1192" s="34" t="s">
        <v>1561</v>
      </c>
      <c r="K1192" s="107" t="s">
        <v>1561</v>
      </c>
      <c r="L1192" s="34" t="s">
        <v>1561</v>
      </c>
    </row>
    <row r="1193" spans="1:12" ht="16.5" x14ac:dyDescent="0.35">
      <c r="A1193" s="109" t="str">
        <f>HYPERLINK("http://www.examplebusiness.comteam/kendra-minser","http://www.examplebusiness.comteam/kendra-minser")</f>
        <v>http://www.examplebusiness.comteam/kendra-minser</v>
      </c>
      <c r="B1193" s="34">
        <v>4</v>
      </c>
      <c r="C1193" s="34">
        <v>0</v>
      </c>
      <c r="D1193" s="34">
        <v>0</v>
      </c>
      <c r="E1193" s="34">
        <v>0</v>
      </c>
      <c r="F1193" s="34">
        <v>301</v>
      </c>
      <c r="G1193" s="34">
        <v>0</v>
      </c>
      <c r="H1193" s="34"/>
      <c r="I1193" s="34" t="s">
        <v>1561</v>
      </c>
      <c r="J1193" s="34" t="s">
        <v>1561</v>
      </c>
      <c r="K1193" s="107" t="s">
        <v>1561</v>
      </c>
      <c r="L1193" s="34" t="s">
        <v>1561</v>
      </c>
    </row>
    <row r="1194" spans="1:12" ht="16.5" x14ac:dyDescent="0.35">
      <c r="A1194" s="109" t="str">
        <f>HYPERLINK("http://www.examplebusiness.comteam/kirsten-davidson","http://www.examplebusiness.comteam/kirsten-davidson")</f>
        <v>http://www.examplebusiness.comteam/kirsten-davidson</v>
      </c>
      <c r="B1194" s="34">
        <v>4</v>
      </c>
      <c r="C1194" s="34">
        <v>0</v>
      </c>
      <c r="D1194" s="34">
        <v>0</v>
      </c>
      <c r="E1194" s="34">
        <v>0</v>
      </c>
      <c r="F1194" s="34">
        <v>301</v>
      </c>
      <c r="G1194" s="34">
        <v>0</v>
      </c>
      <c r="H1194" s="34"/>
      <c r="I1194" s="34" t="s">
        <v>1561</v>
      </c>
      <c r="J1194" s="34" t="s">
        <v>1561</v>
      </c>
      <c r="K1194" s="107" t="s">
        <v>1561</v>
      </c>
      <c r="L1194" s="34" t="s">
        <v>1561</v>
      </c>
    </row>
    <row r="1195" spans="1:12" ht="16.5" x14ac:dyDescent="0.35">
      <c r="A1195" s="109" t="str">
        <f>HYPERLINK("http://www.examplebusiness.comblog/what-to-do-with-your-401k-when-changing-jobs","http://www.examplebusiness.comblog/what-to-do-with-your-401k-when-changing-jobs")</f>
        <v>http://www.examplebusiness.comblog/what-to-do-with-your-401k-when-changing-jobs</v>
      </c>
      <c r="B1195" s="34">
        <v>4</v>
      </c>
      <c r="C1195" s="34">
        <v>0</v>
      </c>
      <c r="D1195" s="34">
        <v>0</v>
      </c>
      <c r="E1195" s="34">
        <v>0</v>
      </c>
      <c r="F1195" s="34">
        <v>301</v>
      </c>
      <c r="G1195" s="34">
        <v>0</v>
      </c>
      <c r="H1195" s="34"/>
      <c r="I1195" s="34" t="s">
        <v>1561</v>
      </c>
      <c r="J1195" s="34" t="s">
        <v>1561</v>
      </c>
      <c r="K1195" s="107" t="s">
        <v>1561</v>
      </c>
      <c r="L1195" s="34" t="s">
        <v>1561</v>
      </c>
    </row>
    <row r="1196" spans="1:12" ht="16.5" x14ac:dyDescent="0.35">
      <c r="A1196" s="109" t="str">
        <f>HYPERLINK("http://www.examplebusiness.comp/minneapolis-retirement-planning-firm","http://www.examplebusiness.comp/minneapolis-retirement-planning-firm")</f>
        <v>http://www.examplebusiness.comp/minneapolis-retirement-planning-firm</v>
      </c>
      <c r="B1196" s="34">
        <v>4</v>
      </c>
      <c r="C1196" s="34">
        <v>0</v>
      </c>
      <c r="D1196" s="34">
        <v>0</v>
      </c>
      <c r="E1196" s="34">
        <v>0</v>
      </c>
      <c r="F1196" s="34">
        <v>301</v>
      </c>
      <c r="G1196" s="34">
        <v>0</v>
      </c>
      <c r="H1196" s="34"/>
      <c r="I1196" s="34" t="s">
        <v>1561</v>
      </c>
      <c r="J1196" s="34" t="s">
        <v>1561</v>
      </c>
      <c r="K1196" s="107" t="s">
        <v>1561</v>
      </c>
      <c r="L1196" s="34" t="s">
        <v>1561</v>
      </c>
    </row>
    <row r="1197" spans="1:12" ht="16.5" x14ac:dyDescent="0.35">
      <c r="A1197" s="109" t="str">
        <f>HYPERLINK("http://www.examplebusiness.comresource-center/estate/estate-management-101","http://www.examplebusiness.comresource-center/estate/estate-management-101")</f>
        <v>http://www.examplebusiness.comresource-center/estate/estate-management-101</v>
      </c>
      <c r="B1197" s="34">
        <v>4</v>
      </c>
      <c r="C1197" s="34">
        <v>0</v>
      </c>
      <c r="D1197" s="34">
        <v>0</v>
      </c>
      <c r="E1197" s="34">
        <v>0</v>
      </c>
      <c r="F1197" s="34">
        <v>301</v>
      </c>
      <c r="G1197" s="34">
        <v>0</v>
      </c>
      <c r="H1197" s="34"/>
      <c r="I1197" s="34" t="s">
        <v>1561</v>
      </c>
      <c r="J1197" s="34" t="s">
        <v>1561</v>
      </c>
      <c r="K1197" s="107" t="s">
        <v>1561</v>
      </c>
      <c r="L1197" s="34" t="s">
        <v>1561</v>
      </c>
    </row>
    <row r="1198" spans="1:12" ht="16.5" x14ac:dyDescent="0.35">
      <c r="A1198" s="109" t="str">
        <f>HYPERLINK("http://www.examplebusiness.comresource-center/estate/estate-management-checklist","http://www.examplebusiness.comresource-center/estate/estate-management-checklist")</f>
        <v>http://www.examplebusiness.comresource-center/estate/estate-management-checklist</v>
      </c>
      <c r="B1198" s="34">
        <v>4</v>
      </c>
      <c r="C1198" s="34">
        <v>0</v>
      </c>
      <c r="D1198" s="34">
        <v>0</v>
      </c>
      <c r="E1198" s="34">
        <v>0</v>
      </c>
      <c r="F1198" s="34">
        <v>301</v>
      </c>
      <c r="G1198" s="34">
        <v>0</v>
      </c>
      <c r="H1198" s="34"/>
      <c r="I1198" s="34" t="s">
        <v>1561</v>
      </c>
      <c r="J1198" s="34" t="s">
        <v>1561</v>
      </c>
      <c r="K1198" s="107" t="s">
        <v>1561</v>
      </c>
      <c r="L1198" s="34" t="s">
        <v>1561</v>
      </c>
    </row>
    <row r="1199" spans="1:12" ht="16.5" x14ac:dyDescent="0.35">
      <c r="A1199" s="109" t="str">
        <f>HYPERLINK("http://www.examplebusiness.comresource-center/estate/test-your-estate-strategy-knowledge","http://www.examplebusiness.comresource-center/estate/test-your-estate-strategy-knowledge")</f>
        <v>http://www.examplebusiness.comresource-center/estate/test-your-estate-strategy-knowledge</v>
      </c>
      <c r="B1199" s="34">
        <v>4</v>
      </c>
      <c r="C1199" s="34">
        <v>0</v>
      </c>
      <c r="D1199" s="34">
        <v>0</v>
      </c>
      <c r="E1199" s="34">
        <v>0</v>
      </c>
      <c r="F1199" s="34">
        <v>301</v>
      </c>
      <c r="G1199" s="34">
        <v>0</v>
      </c>
      <c r="H1199" s="34"/>
      <c r="I1199" s="34" t="s">
        <v>1561</v>
      </c>
      <c r="J1199" s="34" t="s">
        <v>1561</v>
      </c>
      <c r="K1199" s="107" t="s">
        <v>1561</v>
      </c>
      <c r="L1199" s="34" t="s">
        <v>1561</v>
      </c>
    </row>
    <row r="1200" spans="1:12" ht="16.5" x14ac:dyDescent="0.35">
      <c r="A1200" s="109" t="str">
        <f>HYPERLINK("http://www.examplebusiness.comresource-center/estate/why-everyone-needs-an-estate-strategy","http://www.examplebusiness.comresource-center/estate/why-everyone-needs-an-estate-strategy")</f>
        <v>http://www.examplebusiness.comresource-center/estate/why-everyone-needs-an-estate-strategy</v>
      </c>
      <c r="B1200" s="34">
        <v>4</v>
      </c>
      <c r="C1200" s="34">
        <v>0</v>
      </c>
      <c r="D1200" s="34">
        <v>0</v>
      </c>
      <c r="E1200" s="34">
        <v>0</v>
      </c>
      <c r="F1200" s="34">
        <v>301</v>
      </c>
      <c r="G1200" s="34">
        <v>0</v>
      </c>
      <c r="H1200" s="34"/>
      <c r="I1200" s="34" t="s">
        <v>1561</v>
      </c>
      <c r="J1200" s="34" t="s">
        <v>1561</v>
      </c>
      <c r="K1200" s="107" t="s">
        <v>1561</v>
      </c>
      <c r="L1200" s="34" t="s">
        <v>1561</v>
      </c>
    </row>
    <row r="1201" spans="1:12" ht="16.5" x14ac:dyDescent="0.35">
      <c r="A1201" s="109" t="str">
        <f>HYPERLINK("http://www.examplebusiness.comresource-center/insurance/disability-income","http://www.examplebusiness.comresource-center/insurance/disability-income")</f>
        <v>http://www.examplebusiness.comresource-center/insurance/disability-income</v>
      </c>
      <c r="B1201" s="34">
        <v>4</v>
      </c>
      <c r="C1201" s="34">
        <v>0</v>
      </c>
      <c r="D1201" s="34">
        <v>0</v>
      </c>
      <c r="E1201" s="34">
        <v>0</v>
      </c>
      <c r="F1201" s="34">
        <v>301</v>
      </c>
      <c r="G1201" s="34">
        <v>0</v>
      </c>
      <c r="H1201" s="34"/>
      <c r="I1201" s="34" t="s">
        <v>1561</v>
      </c>
      <c r="J1201" s="34" t="s">
        <v>1561</v>
      </c>
      <c r="K1201" s="107" t="s">
        <v>1561</v>
      </c>
      <c r="L1201" s="34" t="s">
        <v>1561</v>
      </c>
    </row>
    <row r="1202" spans="1:12" ht="16.5" x14ac:dyDescent="0.35">
      <c r="A1202" s="109" t="str">
        <f>HYPERLINK("http://www.examplebusiness.comresource-center/insurance/variable-universal-life-insurance","http://www.examplebusiness.comresource-center/insurance/variable-universal-life-insurance")</f>
        <v>http://www.examplebusiness.comresource-center/insurance/variable-universal-life-insurance</v>
      </c>
      <c r="B1202" s="34">
        <v>4</v>
      </c>
      <c r="C1202" s="34">
        <v>0</v>
      </c>
      <c r="D1202" s="34">
        <v>0</v>
      </c>
      <c r="E1202" s="34">
        <v>0</v>
      </c>
      <c r="F1202" s="34">
        <v>301</v>
      </c>
      <c r="G1202" s="34">
        <v>0</v>
      </c>
      <c r="H1202" s="34"/>
      <c r="I1202" s="34" t="s">
        <v>1561</v>
      </c>
      <c r="J1202" s="34" t="s">
        <v>1561</v>
      </c>
      <c r="K1202" s="107" t="s">
        <v>1561</v>
      </c>
      <c r="L1202" s="34" t="s">
        <v>1561</v>
      </c>
    </row>
    <row r="1203" spans="1:12" ht="16.5" x14ac:dyDescent="0.35">
      <c r="A1203" s="109" t="str">
        <f>HYPERLINK("http://www.examplebusiness.comresource-center/investment/5-smart-investing-principles","http://www.examplebusiness.comresource-center/investment/5-smart-investing-principles")</f>
        <v>http://www.examplebusiness.comresource-center/investment/5-smart-investing-principles</v>
      </c>
      <c r="B1203" s="34">
        <v>4</v>
      </c>
      <c r="C1203" s="34">
        <v>0</v>
      </c>
      <c r="D1203" s="34">
        <v>0</v>
      </c>
      <c r="E1203" s="34">
        <v>0</v>
      </c>
      <c r="F1203" s="34">
        <v>301</v>
      </c>
      <c r="G1203" s="34">
        <v>0</v>
      </c>
      <c r="H1203" s="34"/>
      <c r="I1203" s="34" t="s">
        <v>1561</v>
      </c>
      <c r="J1203" s="34" t="s">
        <v>1561</v>
      </c>
      <c r="K1203" s="107" t="s">
        <v>1561</v>
      </c>
      <c r="L1203" s="34" t="s">
        <v>1561</v>
      </c>
    </row>
    <row r="1204" spans="1:12" ht="16.5" x14ac:dyDescent="0.35">
      <c r="A1204" s="109" t="str">
        <f>HYPERLINK("http://www.examplebusiness.comresource-center/investment/a-taxing-story-capital-gains-and-losses","http://www.examplebusiness.comresource-center/investment/a-taxing-story-capital-gains-and-losses")</f>
        <v>http://www.examplebusiness.comresource-center/investment/a-taxing-story-capital-gains-and-losses</v>
      </c>
      <c r="B1204" s="34">
        <v>4</v>
      </c>
      <c r="C1204" s="34">
        <v>0</v>
      </c>
      <c r="D1204" s="34">
        <v>0</v>
      </c>
      <c r="E1204" s="34">
        <v>0</v>
      </c>
      <c r="F1204" s="34">
        <v>301</v>
      </c>
      <c r="G1204" s="34">
        <v>0</v>
      </c>
      <c r="H1204" s="34"/>
      <c r="I1204" s="34" t="s">
        <v>1561</v>
      </c>
      <c r="J1204" s="34" t="s">
        <v>1561</v>
      </c>
      <c r="K1204" s="107" t="s">
        <v>1561</v>
      </c>
      <c r="L1204" s="34" t="s">
        <v>1561</v>
      </c>
    </row>
    <row r="1205" spans="1:12" ht="16.5" x14ac:dyDescent="0.35">
      <c r="A1205" s="109" t="str">
        <f>HYPERLINK("http://www.examplebusiness.comresource-center/investment/all-muni-bonds-are-not-created-equal","http://www.examplebusiness.comresource-center/investment/all-muni-bonds-are-not-created-equal")</f>
        <v>http://www.examplebusiness.comresource-center/investment/all-muni-bonds-are-not-created-equal</v>
      </c>
      <c r="B1205" s="34">
        <v>4</v>
      </c>
      <c r="C1205" s="34">
        <v>0</v>
      </c>
      <c r="D1205" s="34">
        <v>0</v>
      </c>
      <c r="E1205" s="34">
        <v>0</v>
      </c>
      <c r="F1205" s="34">
        <v>301</v>
      </c>
      <c r="G1205" s="34">
        <v>0</v>
      </c>
      <c r="H1205" s="34"/>
      <c r="I1205" s="34" t="s">
        <v>1561</v>
      </c>
      <c r="J1205" s="34" t="s">
        <v>1561</v>
      </c>
      <c r="K1205" s="107" t="s">
        <v>1561</v>
      </c>
      <c r="L1205" s="34" t="s">
        <v>1561</v>
      </c>
    </row>
    <row r="1206" spans="1:12" ht="16.5" x14ac:dyDescent="0.35">
      <c r="A1206" s="109" t="str">
        <f>HYPERLINK("http://www.examplebusiness.comresource-center/investment/alternative-investments-going-mainstream","http://www.examplebusiness.comresource-center/investment/alternative-investments-going-mainstream")</f>
        <v>http://www.examplebusiness.comresource-center/investment/alternative-investments-going-mainstream</v>
      </c>
      <c r="B1206" s="34">
        <v>4</v>
      </c>
      <c r="C1206" s="34">
        <v>0</v>
      </c>
      <c r="D1206" s="34">
        <v>0</v>
      </c>
      <c r="E1206" s="34">
        <v>0</v>
      </c>
      <c r="F1206" s="34">
        <v>301</v>
      </c>
      <c r="G1206" s="34">
        <v>0</v>
      </c>
      <c r="H1206" s="34"/>
      <c r="I1206" s="34" t="s">
        <v>1561</v>
      </c>
      <c r="J1206" s="34" t="s">
        <v>1561</v>
      </c>
      <c r="K1206" s="107" t="s">
        <v>1561</v>
      </c>
      <c r="L1206" s="34" t="s">
        <v>1561</v>
      </c>
    </row>
    <row r="1207" spans="1:12" ht="16.5" x14ac:dyDescent="0.35">
      <c r="A1207" s="109" t="str">
        <f>HYPERLINK("http://www.examplebusiness.comresource-center/investment/best-performing-asset-classes","http://www.examplebusiness.comresource-center/investment/best-performing-asset-classes")</f>
        <v>http://www.examplebusiness.comresource-center/investment/best-performing-asset-classes</v>
      </c>
      <c r="B1207" s="34">
        <v>4</v>
      </c>
      <c r="C1207" s="34">
        <v>0</v>
      </c>
      <c r="D1207" s="34">
        <v>0</v>
      </c>
      <c r="E1207" s="34">
        <v>0</v>
      </c>
      <c r="F1207" s="34">
        <v>301</v>
      </c>
      <c r="G1207" s="34">
        <v>0</v>
      </c>
      <c r="H1207" s="34"/>
      <c r="I1207" s="34" t="s">
        <v>1561</v>
      </c>
      <c r="J1207" s="34" t="s">
        <v>1561</v>
      </c>
      <c r="K1207" s="107" t="s">
        <v>1561</v>
      </c>
      <c r="L1207" s="34" t="s">
        <v>1561</v>
      </c>
    </row>
    <row r="1208" spans="1:12" ht="16.5" x14ac:dyDescent="0.35">
      <c r="A1208" s="109" t="str">
        <f>HYPERLINK("http://www.examplebusiness.comresource-center/investment/dont-be-your-own-worst-enemy","http://www.examplebusiness.comresource-center/investment/dont-be-your-own-worst-enemy")</f>
        <v>http://www.examplebusiness.comresource-center/investment/dont-be-your-own-worst-enemy</v>
      </c>
      <c r="B1208" s="34">
        <v>4</v>
      </c>
      <c r="C1208" s="34">
        <v>0</v>
      </c>
      <c r="D1208" s="34">
        <v>0</v>
      </c>
      <c r="E1208" s="34">
        <v>0</v>
      </c>
      <c r="F1208" s="34">
        <v>301</v>
      </c>
      <c r="G1208" s="34">
        <v>0</v>
      </c>
      <c r="H1208" s="34"/>
      <c r="I1208" s="34" t="s">
        <v>1561</v>
      </c>
      <c r="J1208" s="34" t="s">
        <v>1561</v>
      </c>
      <c r="K1208" s="107" t="s">
        <v>1561</v>
      </c>
      <c r="L1208" s="34" t="s">
        <v>1561</v>
      </c>
    </row>
    <row r="1209" spans="1:12" ht="16.5" x14ac:dyDescent="0.35">
      <c r="A1209" s="109" t="str">
        <f>HYPERLINK("http://www.examplebusiness.comresource-center/investment/how-the-federal-reserve-works","http://www.examplebusiness.comresource-center/investment/how-the-federal-reserve-works")</f>
        <v>http://www.examplebusiness.comresource-center/investment/how-the-federal-reserve-works</v>
      </c>
      <c r="B1209" s="34">
        <v>4</v>
      </c>
      <c r="C1209" s="34">
        <v>0</v>
      </c>
      <c r="D1209" s="34">
        <v>0</v>
      </c>
      <c r="E1209" s="34">
        <v>0</v>
      </c>
      <c r="F1209" s="34">
        <v>301</v>
      </c>
      <c r="G1209" s="34">
        <v>0</v>
      </c>
      <c r="H1209" s="34"/>
      <c r="I1209" s="34" t="s">
        <v>1561</v>
      </c>
      <c r="J1209" s="34" t="s">
        <v>1561</v>
      </c>
      <c r="K1209" s="107" t="s">
        <v>1561</v>
      </c>
      <c r="L1209" s="34" t="s">
        <v>1561</v>
      </c>
    </row>
    <row r="1210" spans="1:12" ht="16.5" x14ac:dyDescent="0.35">
      <c r="A1210" s="109" t="str">
        <f>HYPERLINK("http://www.examplebusiness.comresource-center/investment/inflation-and-your-money","http://www.examplebusiness.comresource-center/investment/inflation-and-your-money")</f>
        <v>http://www.examplebusiness.comresource-center/investment/inflation-and-your-money</v>
      </c>
      <c r="B1210" s="34">
        <v>4</v>
      </c>
      <c r="C1210" s="34">
        <v>0</v>
      </c>
      <c r="D1210" s="34">
        <v>0</v>
      </c>
      <c r="E1210" s="34">
        <v>0</v>
      </c>
      <c r="F1210" s="34">
        <v>301</v>
      </c>
      <c r="G1210" s="34">
        <v>0</v>
      </c>
      <c r="H1210" s="34"/>
      <c r="I1210" s="34" t="s">
        <v>1561</v>
      </c>
      <c r="J1210" s="34" t="s">
        <v>1561</v>
      </c>
      <c r="K1210" s="107" t="s">
        <v>1561</v>
      </c>
      <c r="L1210" s="34" t="s">
        <v>1561</v>
      </c>
    </row>
    <row r="1211" spans="1:12" ht="16.5" x14ac:dyDescent="0.35">
      <c r="A1211" s="109" t="str">
        <f>HYPERLINK("http://www.examplebusiness.comresource-center/investment/inflation-and-your-portfolio","http://www.examplebusiness.comresource-center/investment/inflation-and-your-portfolio")</f>
        <v>http://www.examplebusiness.comresource-center/investment/inflation-and-your-portfolio</v>
      </c>
      <c r="B1211" s="34">
        <v>4</v>
      </c>
      <c r="C1211" s="34">
        <v>0</v>
      </c>
      <c r="D1211" s="34">
        <v>0</v>
      </c>
      <c r="E1211" s="34">
        <v>0</v>
      </c>
      <c r="F1211" s="34">
        <v>301</v>
      </c>
      <c r="G1211" s="34">
        <v>0</v>
      </c>
      <c r="H1211" s="34"/>
      <c r="I1211" s="34" t="s">
        <v>1561</v>
      </c>
      <c r="J1211" s="34" t="s">
        <v>1561</v>
      </c>
      <c r="K1211" s="107" t="s">
        <v>1561</v>
      </c>
      <c r="L1211" s="34" t="s">
        <v>1561</v>
      </c>
    </row>
    <row r="1212" spans="1:12" ht="16.5" x14ac:dyDescent="0.35">
      <c r="A1212" s="109" t="str">
        <f>HYPERLINK("http://www.examplebusiness.comresource-center/investment/jane-bond-decoding-diversification","http://www.examplebusiness.comresource-center/investment/jane-bond-decoding-diversification")</f>
        <v>http://www.examplebusiness.comresource-center/investment/jane-bond-decoding-diversification</v>
      </c>
      <c r="B1212" s="34">
        <v>4</v>
      </c>
      <c r="C1212" s="34">
        <v>0</v>
      </c>
      <c r="D1212" s="34">
        <v>0</v>
      </c>
      <c r="E1212" s="34">
        <v>0</v>
      </c>
      <c r="F1212" s="34">
        <v>301</v>
      </c>
      <c r="G1212" s="34">
        <v>0</v>
      </c>
      <c r="H1212" s="34"/>
      <c r="I1212" s="34" t="s">
        <v>1561</v>
      </c>
      <c r="J1212" s="34" t="s">
        <v>1561</v>
      </c>
      <c r="K1212" s="107" t="s">
        <v>1561</v>
      </c>
      <c r="L1212" s="34" t="s">
        <v>1561</v>
      </c>
    </row>
    <row r="1213" spans="1:12" ht="16.5" x14ac:dyDescent="0.35">
      <c r="A1213" s="109" t="str">
        <f>HYPERLINK("http://www.examplebusiness.comresource-center/investment/the-abcs-of-zero-coupon-bonds","http://www.examplebusiness.comresource-center/investment/the-abcs-of-zero-coupon-bonds")</f>
        <v>http://www.examplebusiness.comresource-center/investment/the-abcs-of-zero-coupon-bonds</v>
      </c>
      <c r="B1213" s="34">
        <v>4</v>
      </c>
      <c r="C1213" s="34">
        <v>0</v>
      </c>
      <c r="D1213" s="34">
        <v>0</v>
      </c>
      <c r="E1213" s="34">
        <v>0</v>
      </c>
      <c r="F1213" s="34">
        <v>301</v>
      </c>
      <c r="G1213" s="34">
        <v>0</v>
      </c>
      <c r="H1213" s="34"/>
      <c r="I1213" s="34" t="s">
        <v>1561</v>
      </c>
      <c r="J1213" s="34" t="s">
        <v>1561</v>
      </c>
      <c r="K1213" s="107" t="s">
        <v>1561</v>
      </c>
      <c r="L1213" s="34" t="s">
        <v>1561</v>
      </c>
    </row>
    <row r="1214" spans="1:12" ht="16.5" x14ac:dyDescent="0.35">
      <c r="A1214" s="109" t="str">
        <f>HYPERLINK("http://www.examplebusiness.comresource-center/investment/the-real-cost-of-a-vacation-home","http://www.examplebusiness.comresource-center/investment/the-real-cost-of-a-vacation-home")</f>
        <v>http://www.examplebusiness.comresource-center/investment/the-real-cost-of-a-vacation-home</v>
      </c>
      <c r="B1214" s="34">
        <v>4</v>
      </c>
      <c r="C1214" s="34">
        <v>0</v>
      </c>
      <c r="D1214" s="34">
        <v>0</v>
      </c>
      <c r="E1214" s="34">
        <v>0</v>
      </c>
      <c r="F1214" s="34">
        <v>301</v>
      </c>
      <c r="G1214" s="34">
        <v>0</v>
      </c>
      <c r="H1214" s="34"/>
      <c r="I1214" s="34" t="s">
        <v>1561</v>
      </c>
      <c r="J1214" s="34" t="s">
        <v>1561</v>
      </c>
      <c r="K1214" s="107" t="s">
        <v>1561</v>
      </c>
      <c r="L1214" s="34" t="s">
        <v>1561</v>
      </c>
    </row>
    <row r="1215" spans="1:12" ht="16.5" x14ac:dyDescent="0.35">
      <c r="A1215" s="109" t="str">
        <f>HYPERLINK("http://www.examplebusiness.comresource-center/investment/what-is-the-dividend-yield","http://www.examplebusiness.comresource-center/investment/what-is-the-dividend-yield")</f>
        <v>http://www.examplebusiness.comresource-center/investment/what-is-the-dividend-yield</v>
      </c>
      <c r="B1215" s="34">
        <v>4</v>
      </c>
      <c r="C1215" s="34">
        <v>0</v>
      </c>
      <c r="D1215" s="34">
        <v>0</v>
      </c>
      <c r="E1215" s="34">
        <v>0</v>
      </c>
      <c r="F1215" s="34">
        <v>301</v>
      </c>
      <c r="G1215" s="34">
        <v>0</v>
      </c>
      <c r="H1215" s="34"/>
      <c r="I1215" s="34" t="s">
        <v>1561</v>
      </c>
      <c r="J1215" s="34" t="s">
        <v>1561</v>
      </c>
      <c r="K1215" s="107" t="s">
        <v>1561</v>
      </c>
      <c r="L1215" s="34" t="s">
        <v>1561</v>
      </c>
    </row>
    <row r="1216" spans="1:12" ht="16.5" x14ac:dyDescent="0.35">
      <c r="A1216" s="109" t="str">
        <f>HYPERLINK("http://www.examplebusiness.comresource-center/investment/whats-your-investment-iq","http://www.examplebusiness.comresource-center/investment/whats-your-investment-iq")</f>
        <v>http://www.examplebusiness.comresource-center/investment/whats-your-investment-iq</v>
      </c>
      <c r="B1216" s="34">
        <v>4</v>
      </c>
      <c r="C1216" s="34">
        <v>0</v>
      </c>
      <c r="D1216" s="34">
        <v>0</v>
      </c>
      <c r="E1216" s="34">
        <v>0</v>
      </c>
      <c r="F1216" s="34">
        <v>301</v>
      </c>
      <c r="G1216" s="34">
        <v>0</v>
      </c>
      <c r="H1216" s="34"/>
      <c r="I1216" s="34" t="s">
        <v>1561</v>
      </c>
      <c r="J1216" s="34" t="s">
        <v>1561</v>
      </c>
      <c r="K1216" s="107" t="s">
        <v>1561</v>
      </c>
      <c r="L1216" s="34" t="s">
        <v>1561</v>
      </c>
    </row>
    <row r="1217" spans="1:12" ht="16.5" x14ac:dyDescent="0.35">
      <c r="A1217" s="109" t="str">
        <f>HYPERLINK("http://www.examplebusiness.comresource-center/investment/where-is-the-market-headed","http://www.examplebusiness.comresource-center/investment/where-is-the-market-headed")</f>
        <v>http://www.examplebusiness.comresource-center/investment/where-is-the-market-headed</v>
      </c>
      <c r="B1217" s="34">
        <v>4</v>
      </c>
      <c r="C1217" s="34">
        <v>0</v>
      </c>
      <c r="D1217" s="34">
        <v>0</v>
      </c>
      <c r="E1217" s="34">
        <v>0</v>
      </c>
      <c r="F1217" s="34">
        <v>301</v>
      </c>
      <c r="G1217" s="34">
        <v>0</v>
      </c>
      <c r="H1217" s="34"/>
      <c r="I1217" s="34" t="s">
        <v>1561</v>
      </c>
      <c r="J1217" s="34" t="s">
        <v>1561</v>
      </c>
      <c r="K1217" s="107" t="s">
        <v>1561</v>
      </c>
      <c r="L1217" s="34" t="s">
        <v>1561</v>
      </c>
    </row>
    <row r="1218" spans="1:12" ht="16.5" x14ac:dyDescent="0.35">
      <c r="A1218" s="109" t="str">
        <f>HYPERLINK("http://www.examplebusiness.comresource-center/lifestyle/coaches","http://www.examplebusiness.comresource-center/lifestyle/coaches")</f>
        <v>http://www.examplebusiness.comresource-center/lifestyle/coaches</v>
      </c>
      <c r="B1218" s="34">
        <v>4</v>
      </c>
      <c r="C1218" s="34">
        <v>0</v>
      </c>
      <c r="D1218" s="34">
        <v>0</v>
      </c>
      <c r="E1218" s="34">
        <v>0</v>
      </c>
      <c r="F1218" s="34">
        <v>301</v>
      </c>
      <c r="G1218" s="34">
        <v>0</v>
      </c>
      <c r="H1218" s="34"/>
      <c r="I1218" s="34" t="s">
        <v>1561</v>
      </c>
      <c r="J1218" s="34" t="s">
        <v>1561</v>
      </c>
      <c r="K1218" s="107" t="s">
        <v>1561</v>
      </c>
      <c r="L1218" s="34" t="s">
        <v>1561</v>
      </c>
    </row>
    <row r="1219" spans="1:12" ht="16.5" x14ac:dyDescent="0.35">
      <c r="A1219" s="109" t="str">
        <f>HYPERLINK("http://www.examplebusiness.comresource-center/lifestyle/good-health-is-good-business","http://www.examplebusiness.comresource-center/lifestyle/good-health-is-good-business")</f>
        <v>http://www.examplebusiness.comresource-center/lifestyle/good-health-is-good-business</v>
      </c>
      <c r="B1219" s="34">
        <v>4</v>
      </c>
      <c r="C1219" s="34">
        <v>0</v>
      </c>
      <c r="D1219" s="34">
        <v>0</v>
      </c>
      <c r="E1219" s="34">
        <v>0</v>
      </c>
      <c r="F1219" s="34">
        <v>301</v>
      </c>
      <c r="G1219" s="34">
        <v>0</v>
      </c>
      <c r="H1219" s="34"/>
      <c r="I1219" s="34" t="s">
        <v>1561</v>
      </c>
      <c r="J1219" s="34" t="s">
        <v>1561</v>
      </c>
      <c r="K1219" s="107" t="s">
        <v>1561</v>
      </c>
      <c r="L1219" s="34" t="s">
        <v>1561</v>
      </c>
    </row>
    <row r="1220" spans="1:12" ht="16.5" x14ac:dyDescent="0.35">
      <c r="A1220" s="109" t="str">
        <f>HYPERLINK("http://www.examplebusiness.comresource-center/lifestyle/lets-chat","http://www.examplebusiness.comresource-center/lifestyle/lets-chat")</f>
        <v>http://www.examplebusiness.comresource-center/lifestyle/lets-chat</v>
      </c>
      <c r="B1220" s="34">
        <v>4</v>
      </c>
      <c r="C1220" s="34">
        <v>0</v>
      </c>
      <c r="D1220" s="34">
        <v>0</v>
      </c>
      <c r="E1220" s="34">
        <v>0</v>
      </c>
      <c r="F1220" s="34">
        <v>301</v>
      </c>
      <c r="G1220" s="34">
        <v>0</v>
      </c>
      <c r="H1220" s="34"/>
      <c r="I1220" s="34" t="s">
        <v>1561</v>
      </c>
      <c r="J1220" s="34" t="s">
        <v>1561</v>
      </c>
      <c r="K1220" s="107" t="s">
        <v>1561</v>
      </c>
      <c r="L1220" s="34" t="s">
        <v>1561</v>
      </c>
    </row>
    <row r="1221" spans="1:12" ht="16.5" x14ac:dyDescent="0.35">
      <c r="A1221" s="109" t="str">
        <f>HYPERLINK("http://www.examplebusiness.comresource-center/lifestyle/mastering-mobile-lingo","http://www.examplebusiness.comresource-center/lifestyle/mastering-mobile-lingo")</f>
        <v>http://www.examplebusiness.comresource-center/lifestyle/mastering-mobile-lingo</v>
      </c>
      <c r="B1221" s="34">
        <v>4</v>
      </c>
      <c r="C1221" s="34">
        <v>0</v>
      </c>
      <c r="D1221" s="34">
        <v>0</v>
      </c>
      <c r="E1221" s="34">
        <v>0</v>
      </c>
      <c r="F1221" s="34">
        <v>301</v>
      </c>
      <c r="G1221" s="34">
        <v>0</v>
      </c>
      <c r="H1221" s="34"/>
      <c r="I1221" s="34" t="s">
        <v>1561</v>
      </c>
      <c r="J1221" s="34" t="s">
        <v>1561</v>
      </c>
      <c r="K1221" s="107" t="s">
        <v>1561</v>
      </c>
      <c r="L1221" s="34" t="s">
        <v>1561</v>
      </c>
    </row>
    <row r="1222" spans="1:12" ht="16.5" x14ac:dyDescent="0.35">
      <c r="A1222" s="109" t="str">
        <f>HYPERLINK("http://www.examplebusiness.comresource-center/lifestyle/raising-healthy-children","http://www.examplebusiness.comresource-center/lifestyle/raising-healthy-children")</f>
        <v>http://www.examplebusiness.comresource-center/lifestyle/raising-healthy-children</v>
      </c>
      <c r="B1222" s="34">
        <v>4</v>
      </c>
      <c r="C1222" s="34">
        <v>0</v>
      </c>
      <c r="D1222" s="34">
        <v>0</v>
      </c>
      <c r="E1222" s="34">
        <v>0</v>
      </c>
      <c r="F1222" s="34">
        <v>301</v>
      </c>
      <c r="G1222" s="34">
        <v>0</v>
      </c>
      <c r="H1222" s="34"/>
      <c r="I1222" s="34" t="s">
        <v>1561</v>
      </c>
      <c r="J1222" s="34" t="s">
        <v>1561</v>
      </c>
      <c r="K1222" s="107" t="s">
        <v>1561</v>
      </c>
      <c r="L1222" s="34" t="s">
        <v>1561</v>
      </c>
    </row>
    <row r="1223" spans="1:12" ht="16.5" x14ac:dyDescent="0.35">
      <c r="A1223" s="109" t="str">
        <f>HYPERLINK("http://www.examplebusiness.comresource-center/lifestyle/should-i-buy-or-lease-an-auto","http://www.examplebusiness.comresource-center/lifestyle/should-i-buy-or-lease-an-auto")</f>
        <v>http://www.examplebusiness.comresource-center/lifestyle/should-i-buy-or-lease-an-auto</v>
      </c>
      <c r="B1223" s="34">
        <v>4</v>
      </c>
      <c r="C1223" s="34">
        <v>0</v>
      </c>
      <c r="D1223" s="34">
        <v>0</v>
      </c>
      <c r="E1223" s="34">
        <v>0</v>
      </c>
      <c r="F1223" s="34">
        <v>301</v>
      </c>
      <c r="G1223" s="34">
        <v>0</v>
      </c>
      <c r="H1223" s="34"/>
      <c r="I1223" s="34" t="s">
        <v>1561</v>
      </c>
      <c r="J1223" s="34" t="s">
        <v>1561</v>
      </c>
      <c r="K1223" s="107" t="s">
        <v>1561</v>
      </c>
      <c r="L1223" s="34" t="s">
        <v>1561</v>
      </c>
    </row>
    <row r="1224" spans="1:12" ht="16.5" x14ac:dyDescent="0.35">
      <c r="A1224" s="109" t="str">
        <f>HYPERLINK("http://www.examplebusiness.comresource-center/lifestyle/suddenly-single-3-steps-to-take-now","http://www.examplebusiness.comresource-center/lifestyle/suddenly-single-3-steps-to-take-now")</f>
        <v>http://www.examplebusiness.comresource-center/lifestyle/suddenly-single-3-steps-to-take-now</v>
      </c>
      <c r="B1224" s="34">
        <v>4</v>
      </c>
      <c r="C1224" s="34">
        <v>0</v>
      </c>
      <c r="D1224" s="34">
        <v>0</v>
      </c>
      <c r="E1224" s="34">
        <v>0</v>
      </c>
      <c r="F1224" s="34">
        <v>301</v>
      </c>
      <c r="G1224" s="34">
        <v>0</v>
      </c>
      <c r="H1224" s="34"/>
      <c r="I1224" s="34" t="s">
        <v>1561</v>
      </c>
      <c r="J1224" s="34" t="s">
        <v>1561</v>
      </c>
      <c r="K1224" s="107" t="s">
        <v>1561</v>
      </c>
      <c r="L1224" s="34" t="s">
        <v>1561</v>
      </c>
    </row>
    <row r="1225" spans="1:12" ht="16.5" x14ac:dyDescent="0.35">
      <c r="A1225" s="109" t="str">
        <f>HYPERLINK("http://www.examplebusiness.comresource-center/lifestyle/to-catch-a-thief","http://www.examplebusiness.comresource-center/lifestyle/to-catch-a-thief")</f>
        <v>http://www.examplebusiness.comresource-center/lifestyle/to-catch-a-thief</v>
      </c>
      <c r="B1225" s="34">
        <v>4</v>
      </c>
      <c r="C1225" s="34">
        <v>0</v>
      </c>
      <c r="D1225" s="34">
        <v>0</v>
      </c>
      <c r="E1225" s="34">
        <v>0</v>
      </c>
      <c r="F1225" s="34">
        <v>301</v>
      </c>
      <c r="G1225" s="34">
        <v>0</v>
      </c>
      <c r="H1225" s="34"/>
      <c r="I1225" s="34" t="s">
        <v>1561</v>
      </c>
      <c r="J1225" s="34" t="s">
        <v>1561</v>
      </c>
      <c r="K1225" s="107" t="s">
        <v>1561</v>
      </c>
      <c r="L1225" s="34" t="s">
        <v>1561</v>
      </c>
    </row>
    <row r="1226" spans="1:12" ht="16.5" x14ac:dyDescent="0.35">
      <c r="A1226" s="109" t="str">
        <f>HYPERLINK("http://www.examplebusiness.comresource-center/money/a-penny-saved-is-two-pennies-earned","http://www.examplebusiness.comresource-center/money/a-penny-saved-is-two-pennies-earned")</f>
        <v>http://www.examplebusiness.comresource-center/money/a-penny-saved-is-two-pennies-earned</v>
      </c>
      <c r="B1226" s="34">
        <v>4</v>
      </c>
      <c r="C1226" s="34">
        <v>0</v>
      </c>
      <c r="D1226" s="34">
        <v>0</v>
      </c>
      <c r="E1226" s="34">
        <v>0</v>
      </c>
      <c r="F1226" s="34">
        <v>301</v>
      </c>
      <c r="G1226" s="34">
        <v>0</v>
      </c>
      <c r="H1226" s="34"/>
      <c r="I1226" s="34" t="s">
        <v>1561</v>
      </c>
      <c r="J1226" s="34" t="s">
        <v>1561</v>
      </c>
      <c r="K1226" s="107" t="s">
        <v>1561</v>
      </c>
      <c r="L1226" s="34" t="s">
        <v>1561</v>
      </c>
    </row>
    <row r="1227" spans="1:12" ht="16.5" x14ac:dyDescent="0.35">
      <c r="A1227" s="109" t="str">
        <f>HYPERLINK("http://www.examplebusiness.comresource-center/money/budget-check-up-tax-time-is-the-right-time","http://www.examplebusiness.comresource-center/money/budget-check-up-tax-time-is-the-right-time")</f>
        <v>http://www.examplebusiness.comresource-center/money/budget-check-up-tax-time-is-the-right-time</v>
      </c>
      <c r="B1227" s="34">
        <v>4</v>
      </c>
      <c r="C1227" s="34">
        <v>0</v>
      </c>
      <c r="D1227" s="34">
        <v>0</v>
      </c>
      <c r="E1227" s="34">
        <v>0</v>
      </c>
      <c r="F1227" s="34">
        <v>301</v>
      </c>
      <c r="G1227" s="34">
        <v>0</v>
      </c>
      <c r="H1227" s="34"/>
      <c r="I1227" s="34" t="s">
        <v>1561</v>
      </c>
      <c r="J1227" s="34" t="s">
        <v>1561</v>
      </c>
      <c r="K1227" s="107" t="s">
        <v>1561</v>
      </c>
      <c r="L1227" s="34" t="s">
        <v>1561</v>
      </c>
    </row>
    <row r="1228" spans="1:12" ht="16.5" x14ac:dyDescent="0.35">
      <c r="A1228" s="109" t="str">
        <f>HYPERLINK("http://www.examplebusiness.comresource-center/money/doubling-your-money","http://www.examplebusiness.comresource-center/money/doubling-your-money")</f>
        <v>http://www.examplebusiness.comresource-center/money/doubling-your-money</v>
      </c>
      <c r="B1228" s="34">
        <v>4</v>
      </c>
      <c r="C1228" s="34">
        <v>0</v>
      </c>
      <c r="D1228" s="34">
        <v>0</v>
      </c>
      <c r="E1228" s="34">
        <v>0</v>
      </c>
      <c r="F1228" s="34">
        <v>301</v>
      </c>
      <c r="G1228" s="34">
        <v>0</v>
      </c>
      <c r="H1228" s="34"/>
      <c r="I1228" s="34" t="s">
        <v>1561</v>
      </c>
      <c r="J1228" s="34" t="s">
        <v>1561</v>
      </c>
      <c r="K1228" s="107" t="s">
        <v>1561</v>
      </c>
      <c r="L1228" s="34" t="s">
        <v>1561</v>
      </c>
    </row>
    <row r="1229" spans="1:12" ht="16.5" x14ac:dyDescent="0.35">
      <c r="A1229" s="109" t="str">
        <f>HYPERLINK("http://www.examplebusiness.comresource-center/money/the-economic-journey-of-coffee","http://www.examplebusiness.comresource-center/money/the-economic-journey-of-coffee")</f>
        <v>http://www.examplebusiness.comresource-center/money/the-economic-journey-of-coffee</v>
      </c>
      <c r="B1229" s="34">
        <v>4</v>
      </c>
      <c r="C1229" s="34">
        <v>0</v>
      </c>
      <c r="D1229" s="34">
        <v>0</v>
      </c>
      <c r="E1229" s="34">
        <v>0</v>
      </c>
      <c r="F1229" s="34">
        <v>301</v>
      </c>
      <c r="G1229" s="34">
        <v>0</v>
      </c>
      <c r="H1229" s="34"/>
      <c r="I1229" s="34" t="s">
        <v>1561</v>
      </c>
      <c r="J1229" s="34" t="s">
        <v>1561</v>
      </c>
      <c r="K1229" s="107" t="s">
        <v>1561</v>
      </c>
      <c r="L1229" s="34" t="s">
        <v>1561</v>
      </c>
    </row>
    <row r="1230" spans="1:12" ht="16.5" x14ac:dyDescent="0.35">
      <c r="A1230" s="109" t="str">
        <f>HYPERLINK("http://www.examplebusiness.comresource-center/money/us-household-net-worth","http://www.examplebusiness.comresource-center/money/us-household-net-worth")</f>
        <v>http://www.examplebusiness.comresource-center/money/us-household-net-worth</v>
      </c>
      <c r="B1230" s="34">
        <v>4</v>
      </c>
      <c r="C1230" s="34">
        <v>0</v>
      </c>
      <c r="D1230" s="34">
        <v>0</v>
      </c>
      <c r="E1230" s="34">
        <v>0</v>
      </c>
      <c r="F1230" s="34">
        <v>301</v>
      </c>
      <c r="G1230" s="34">
        <v>0</v>
      </c>
      <c r="H1230" s="34"/>
      <c r="I1230" s="34" t="s">
        <v>1561</v>
      </c>
      <c r="J1230" s="34" t="s">
        <v>1561</v>
      </c>
      <c r="K1230" s="107" t="s">
        <v>1561</v>
      </c>
      <c r="L1230" s="34" t="s">
        <v>1561</v>
      </c>
    </row>
    <row r="1231" spans="1:12" ht="16.5" x14ac:dyDescent="0.35">
      <c r="A1231" s="109" t="str">
        <f>HYPERLINK("http://www.examplebusiness.comresource-center/retirement/a-bucket-plan-to-go-with-your-bucket-list","http://www.examplebusiness.comresource-center/retirement/a-bucket-plan-to-go-with-your-bucket-list")</f>
        <v>http://www.examplebusiness.comresource-center/retirement/a-bucket-plan-to-go-with-your-bucket-list</v>
      </c>
      <c r="B1231" s="34">
        <v>4</v>
      </c>
      <c r="C1231" s="34">
        <v>0</v>
      </c>
      <c r="D1231" s="34">
        <v>0</v>
      </c>
      <c r="E1231" s="34">
        <v>0</v>
      </c>
      <c r="F1231" s="34">
        <v>301</v>
      </c>
      <c r="G1231" s="34">
        <v>0</v>
      </c>
      <c r="H1231" s="34"/>
      <c r="I1231" s="34" t="s">
        <v>1561</v>
      </c>
      <c r="J1231" s="34" t="s">
        <v>1561</v>
      </c>
      <c r="K1231" s="107" t="s">
        <v>1561</v>
      </c>
      <c r="L1231" s="34" t="s">
        <v>1561</v>
      </c>
    </row>
    <row r="1232" spans="1:12" ht="16.5" x14ac:dyDescent="0.35">
      <c r="A1232" s="109" t="str">
        <f>HYPERLINK("http://www.examplebusiness.comresource-center/retirement/inflation-back-to-the-future","http://www.examplebusiness.comresource-center/retirement/inflation-back-to-the-future")</f>
        <v>http://www.examplebusiness.comresource-center/retirement/inflation-back-to-the-future</v>
      </c>
      <c r="B1232" s="34">
        <v>4</v>
      </c>
      <c r="C1232" s="34">
        <v>0</v>
      </c>
      <c r="D1232" s="34">
        <v>0</v>
      </c>
      <c r="E1232" s="34">
        <v>0</v>
      </c>
      <c r="F1232" s="34">
        <v>301</v>
      </c>
      <c r="G1232" s="34">
        <v>0</v>
      </c>
      <c r="H1232" s="34"/>
      <c r="I1232" s="34" t="s">
        <v>1561</v>
      </c>
      <c r="J1232" s="34" t="s">
        <v>1561</v>
      </c>
      <c r="K1232" s="107" t="s">
        <v>1561</v>
      </c>
      <c r="L1232" s="34" t="s">
        <v>1561</v>
      </c>
    </row>
    <row r="1233" spans="1:12" ht="16.5" x14ac:dyDescent="0.35">
      <c r="A1233" s="109" t="str">
        <f>HYPERLINK("http://www.examplebusiness.comresource-center/retirement/maximizing-your-social-security-benefits","http://www.examplebusiness.comresource-center/retirement/maximizing-your-social-security-benefits")</f>
        <v>http://www.examplebusiness.comresource-center/retirement/maximizing-your-social-security-benefits</v>
      </c>
      <c r="B1233" s="34">
        <v>4</v>
      </c>
      <c r="C1233" s="34">
        <v>0</v>
      </c>
      <c r="D1233" s="34">
        <v>0</v>
      </c>
      <c r="E1233" s="34">
        <v>0</v>
      </c>
      <c r="F1233" s="34">
        <v>301</v>
      </c>
      <c r="G1233" s="34">
        <v>0</v>
      </c>
      <c r="H1233" s="34"/>
      <c r="I1233" s="34" t="s">
        <v>1561</v>
      </c>
      <c r="J1233" s="34" t="s">
        <v>1561</v>
      </c>
      <c r="K1233" s="107" t="s">
        <v>1561</v>
      </c>
      <c r="L1233" s="34" t="s">
        <v>1561</v>
      </c>
    </row>
    <row r="1234" spans="1:12" ht="16.5" x14ac:dyDescent="0.35">
      <c r="A1234" s="109" t="str">
        <f>HYPERLINK("http://www.examplebusiness.comresource-center/retirement/ready-for-retirement","http://www.examplebusiness.comresource-center/retirement/ready-for-retirement")</f>
        <v>http://www.examplebusiness.comresource-center/retirement/ready-for-retirement</v>
      </c>
      <c r="B1234" s="34">
        <v>4</v>
      </c>
      <c r="C1234" s="34">
        <v>0</v>
      </c>
      <c r="D1234" s="34">
        <v>0</v>
      </c>
      <c r="E1234" s="34">
        <v>0</v>
      </c>
      <c r="F1234" s="34">
        <v>301</v>
      </c>
      <c r="G1234" s="34">
        <v>0</v>
      </c>
      <c r="H1234" s="34"/>
      <c r="I1234" s="34" t="s">
        <v>1561</v>
      </c>
      <c r="J1234" s="34" t="s">
        <v>1561</v>
      </c>
      <c r="K1234" s="107" t="s">
        <v>1561</v>
      </c>
      <c r="L1234" s="34" t="s">
        <v>1561</v>
      </c>
    </row>
    <row r="1235" spans="1:12" ht="16.5" x14ac:dyDescent="0.35">
      <c r="A1235" s="109" t="str">
        <f>HYPERLINK("http://www.examplebusiness.comresource-center/retirement/retirement-plan-distributions","http://www.examplebusiness.comresource-center/retirement/retirement-plan-distributions")</f>
        <v>http://www.examplebusiness.comresource-center/retirement/retirement-plan-distributions</v>
      </c>
      <c r="B1235" s="34">
        <v>4</v>
      </c>
      <c r="C1235" s="34">
        <v>0</v>
      </c>
      <c r="D1235" s="34">
        <v>0</v>
      </c>
      <c r="E1235" s="34">
        <v>0</v>
      </c>
      <c r="F1235" s="34">
        <v>301</v>
      </c>
      <c r="G1235" s="34">
        <v>0</v>
      </c>
      <c r="H1235" s="34"/>
      <c r="I1235" s="34" t="s">
        <v>1561</v>
      </c>
      <c r="J1235" s="34" t="s">
        <v>1561</v>
      </c>
      <c r="K1235" s="107" t="s">
        <v>1561</v>
      </c>
      <c r="L1235" s="34" t="s">
        <v>1561</v>
      </c>
    </row>
    <row r="1236" spans="1:12" ht="16.5" x14ac:dyDescent="0.35">
      <c r="A1236" s="109" t="str">
        <f>HYPERLINK("http://www.examplebusiness.comresource-center/retirement/self-employed-retirement-plans","http://www.examplebusiness.comresource-center/retirement/self-employed-retirement-plans")</f>
        <v>http://www.examplebusiness.comresource-center/retirement/self-employed-retirement-plans</v>
      </c>
      <c r="B1236" s="34">
        <v>4</v>
      </c>
      <c r="C1236" s="34">
        <v>0</v>
      </c>
      <c r="D1236" s="34">
        <v>0</v>
      </c>
      <c r="E1236" s="34">
        <v>0</v>
      </c>
      <c r="F1236" s="34">
        <v>301</v>
      </c>
      <c r="G1236" s="34">
        <v>0</v>
      </c>
      <c r="H1236" s="34"/>
      <c r="I1236" s="34" t="s">
        <v>1561</v>
      </c>
      <c r="J1236" s="34" t="s">
        <v>1561</v>
      </c>
      <c r="K1236" s="107" t="s">
        <v>1561</v>
      </c>
      <c r="L1236" s="34" t="s">
        <v>1561</v>
      </c>
    </row>
    <row r="1237" spans="1:12" ht="16.5" x14ac:dyDescent="0.35">
      <c r="A1237" s="109" t="str">
        <f>HYPERLINK("http://www.examplebusiness.comresource-center/retirement/should-you-ever-retire","http://www.examplebusiness.comresource-center/retirement/should-you-ever-retire")</f>
        <v>http://www.examplebusiness.comresource-center/retirement/should-you-ever-retire</v>
      </c>
      <c r="B1237" s="34">
        <v>4</v>
      </c>
      <c r="C1237" s="34">
        <v>0</v>
      </c>
      <c r="D1237" s="34">
        <v>0</v>
      </c>
      <c r="E1237" s="34">
        <v>0</v>
      </c>
      <c r="F1237" s="34">
        <v>301</v>
      </c>
      <c r="G1237" s="34">
        <v>0</v>
      </c>
      <c r="H1237" s="34"/>
      <c r="I1237" s="34" t="s">
        <v>1561</v>
      </c>
      <c r="J1237" s="34" t="s">
        <v>1561</v>
      </c>
      <c r="K1237" s="107" t="s">
        <v>1561</v>
      </c>
      <c r="L1237" s="34" t="s">
        <v>1561</v>
      </c>
    </row>
    <row r="1238" spans="1:12" ht="16.5" x14ac:dyDescent="0.35">
      <c r="A1238" s="109" t="str">
        <f>HYPERLINK("http://www.examplebusiness.comresource-center/retirement/social-security-5-facts-you-need-to-know","http://www.examplebusiness.comresource-center/retirement/social-security-5-facts-you-need-to-know")</f>
        <v>http://www.examplebusiness.comresource-center/retirement/social-security-5-facts-you-need-to-know</v>
      </c>
      <c r="B1238" s="34">
        <v>4</v>
      </c>
      <c r="C1238" s="34">
        <v>0</v>
      </c>
      <c r="D1238" s="34">
        <v>0</v>
      </c>
      <c r="E1238" s="34">
        <v>0</v>
      </c>
      <c r="F1238" s="34">
        <v>301</v>
      </c>
      <c r="G1238" s="34">
        <v>0</v>
      </c>
      <c r="H1238" s="34"/>
      <c r="I1238" s="34" t="s">
        <v>1561</v>
      </c>
      <c r="J1238" s="34" t="s">
        <v>1561</v>
      </c>
      <c r="K1238" s="107" t="s">
        <v>1561</v>
      </c>
      <c r="L1238" s="34" t="s">
        <v>1561</v>
      </c>
    </row>
    <row r="1239" spans="1:12" ht="16.5" x14ac:dyDescent="0.35">
      <c r="A1239" s="109" t="str">
        <f>HYPERLINK("http://www.examplebusiness.comresource-center/retirement/social-security-how-much-will-i-receive","http://www.examplebusiness.comresource-center/retirement/social-security-how-much-will-i-receive")</f>
        <v>http://www.examplebusiness.comresource-center/retirement/social-security-how-much-will-i-receive</v>
      </c>
      <c r="B1239" s="34">
        <v>4</v>
      </c>
      <c r="C1239" s="34">
        <v>0</v>
      </c>
      <c r="D1239" s="34">
        <v>0</v>
      </c>
      <c r="E1239" s="34">
        <v>0</v>
      </c>
      <c r="F1239" s="34">
        <v>301</v>
      </c>
      <c r="G1239" s="34">
        <v>0</v>
      </c>
      <c r="H1239" s="34"/>
      <c r="I1239" s="34" t="s">
        <v>1561</v>
      </c>
      <c r="J1239" s="34" t="s">
        <v>1561</v>
      </c>
      <c r="K1239" s="107" t="s">
        <v>1561</v>
      </c>
      <c r="L1239" s="34" t="s">
        <v>1561</v>
      </c>
    </row>
    <row r="1240" spans="1:12" ht="16.5" x14ac:dyDescent="0.35">
      <c r="A1240" s="109" t="str">
        <f>HYPERLINK("http://www.examplebusiness.comresource-center/retirement/thinking-of-retiring-abroad","http://www.examplebusiness.comresource-center/retirement/thinking-of-retiring-abroad")</f>
        <v>http://www.examplebusiness.comresource-center/retirement/thinking-of-retiring-abroad</v>
      </c>
      <c r="B1240" s="34">
        <v>4</v>
      </c>
      <c r="C1240" s="34">
        <v>0</v>
      </c>
      <c r="D1240" s="34">
        <v>0</v>
      </c>
      <c r="E1240" s="34">
        <v>0</v>
      </c>
      <c r="F1240" s="34">
        <v>301</v>
      </c>
      <c r="G1240" s="34">
        <v>0</v>
      </c>
      <c r="H1240" s="34"/>
      <c r="I1240" s="34" t="s">
        <v>1561</v>
      </c>
      <c r="J1240" s="34" t="s">
        <v>1561</v>
      </c>
      <c r="K1240" s="107" t="s">
        <v>1561</v>
      </c>
      <c r="L1240" s="34" t="s">
        <v>1561</v>
      </c>
    </row>
    <row r="1241" spans="1:12" ht="16.5" x14ac:dyDescent="0.35">
      <c r="A1241" s="109" t="str">
        <f>HYPERLINK("http://www.examplebusiness.comresource-center/retirement/volunteering-in-retirement","http://www.examplebusiness.comresource-center/retirement/volunteering-in-retirement")</f>
        <v>http://www.examplebusiness.comresource-center/retirement/volunteering-in-retirement</v>
      </c>
      <c r="B1241" s="34">
        <v>4</v>
      </c>
      <c r="C1241" s="34">
        <v>0</v>
      </c>
      <c r="D1241" s="34">
        <v>0</v>
      </c>
      <c r="E1241" s="34">
        <v>0</v>
      </c>
      <c r="F1241" s="34">
        <v>301</v>
      </c>
      <c r="G1241" s="34">
        <v>0</v>
      </c>
      <c r="H1241" s="34"/>
      <c r="I1241" s="34" t="s">
        <v>1561</v>
      </c>
      <c r="J1241" s="34" t="s">
        <v>1561</v>
      </c>
      <c r="K1241" s="107" t="s">
        <v>1561</v>
      </c>
      <c r="L1241" s="34" t="s">
        <v>1561</v>
      </c>
    </row>
    <row r="1242" spans="1:12" ht="16.5" x14ac:dyDescent="0.35">
      <c r="A1242" s="109" t="str">
        <f>HYPERLINK("http://www.examplebusiness.comresource-center/retirement/what-is-an-annuity","http://www.examplebusiness.comresource-center/retirement/what-is-an-annuity")</f>
        <v>http://www.examplebusiness.comresource-center/retirement/what-is-an-annuity</v>
      </c>
      <c r="B1242" s="34">
        <v>4</v>
      </c>
      <c r="C1242" s="34">
        <v>0</v>
      </c>
      <c r="D1242" s="34">
        <v>0</v>
      </c>
      <c r="E1242" s="34">
        <v>0</v>
      </c>
      <c r="F1242" s="34">
        <v>301</v>
      </c>
      <c r="G1242" s="34">
        <v>0</v>
      </c>
      <c r="H1242" s="34"/>
      <c r="I1242" s="34" t="s">
        <v>1561</v>
      </c>
      <c r="J1242" s="34" t="s">
        <v>1561</v>
      </c>
      <c r="K1242" s="107" t="s">
        <v>1561</v>
      </c>
      <c r="L1242" s="34" t="s">
        <v>1561</v>
      </c>
    </row>
    <row r="1243" spans="1:12" ht="16.5" x14ac:dyDescent="0.35">
      <c r="A1243" s="109" t="str">
        <f>HYPERLINK("http://www.examplebusiness.comresource-center/tax/comparing-investments","http://www.examplebusiness.comresource-center/tax/comparing-investments")</f>
        <v>http://www.examplebusiness.comresource-center/tax/comparing-investments</v>
      </c>
      <c r="B1243" s="34">
        <v>4</v>
      </c>
      <c r="C1243" s="34">
        <v>0</v>
      </c>
      <c r="D1243" s="34">
        <v>0</v>
      </c>
      <c r="E1243" s="34">
        <v>0</v>
      </c>
      <c r="F1243" s="34">
        <v>301</v>
      </c>
      <c r="G1243" s="34">
        <v>0</v>
      </c>
      <c r="H1243" s="34"/>
      <c r="I1243" s="34" t="s">
        <v>1561</v>
      </c>
      <c r="J1243" s="34" t="s">
        <v>1561</v>
      </c>
      <c r="K1243" s="107" t="s">
        <v>1561</v>
      </c>
      <c r="L1243" s="34" t="s">
        <v>1561</v>
      </c>
    </row>
    <row r="1244" spans="1:12" ht="16.5" x14ac:dyDescent="0.35">
      <c r="A1244" s="109" t="str">
        <f>HYPERLINK("http://www.examplebusiness.comresource-center/tax/do-you-owe-the-amt","http://www.examplebusiness.comresource-center/tax/do-you-owe-the-amt")</f>
        <v>http://www.examplebusiness.comresource-center/tax/do-you-owe-the-amt</v>
      </c>
      <c r="B1244" s="34">
        <v>4</v>
      </c>
      <c r="C1244" s="34">
        <v>0</v>
      </c>
      <c r="D1244" s="34">
        <v>0</v>
      </c>
      <c r="E1244" s="34">
        <v>0</v>
      </c>
      <c r="F1244" s="34">
        <v>301</v>
      </c>
      <c r="G1244" s="34">
        <v>0</v>
      </c>
      <c r="H1244" s="34"/>
      <c r="I1244" s="34" t="s">
        <v>1561</v>
      </c>
      <c r="J1244" s="34" t="s">
        <v>1561</v>
      </c>
      <c r="K1244" s="107" t="s">
        <v>1561</v>
      </c>
      <c r="L1244" s="34" t="s">
        <v>1561</v>
      </c>
    </row>
    <row r="1245" spans="1:12" ht="16.5" x14ac:dyDescent="0.35">
      <c r="A1245" s="109" t="str">
        <f>HYPERLINK("http://www.examplebusiness.comresource-center/tax/home-mortgage-deduction","http://www.examplebusiness.comresource-center/tax/home-mortgage-deduction")</f>
        <v>http://www.examplebusiness.comresource-center/tax/home-mortgage-deduction</v>
      </c>
      <c r="B1245" s="34">
        <v>4</v>
      </c>
      <c r="C1245" s="34">
        <v>0</v>
      </c>
      <c r="D1245" s="34">
        <v>0</v>
      </c>
      <c r="E1245" s="34">
        <v>0</v>
      </c>
      <c r="F1245" s="34">
        <v>301</v>
      </c>
      <c r="G1245" s="34">
        <v>0</v>
      </c>
      <c r="H1245" s="34"/>
      <c r="I1245" s="34" t="s">
        <v>1561</v>
      </c>
      <c r="J1245" s="34" t="s">
        <v>1561</v>
      </c>
      <c r="K1245" s="107" t="s">
        <v>1561</v>
      </c>
      <c r="L1245" s="34" t="s">
        <v>1561</v>
      </c>
    </row>
    <row r="1246" spans="1:12" ht="16.5" x14ac:dyDescent="0.35">
      <c r="A1246" s="109" t="str">
        <f>HYPERLINK("http://www.examplebusiness.comresource-center/tax/how-to-make-the-tax-code-work-for-you","http://www.examplebusiness.comresource-center/tax/how-to-make-the-tax-code-work-for-you")</f>
        <v>http://www.examplebusiness.comresource-center/tax/how-to-make-the-tax-code-work-for-you</v>
      </c>
      <c r="B1246" s="34">
        <v>4</v>
      </c>
      <c r="C1246" s="34">
        <v>0</v>
      </c>
      <c r="D1246" s="34">
        <v>0</v>
      </c>
      <c r="E1246" s="34">
        <v>0</v>
      </c>
      <c r="F1246" s="34">
        <v>301</v>
      </c>
      <c r="G1246" s="34">
        <v>0</v>
      </c>
      <c r="H1246" s="34"/>
      <c r="I1246" s="34" t="s">
        <v>1561</v>
      </c>
      <c r="J1246" s="34" t="s">
        <v>1561</v>
      </c>
      <c r="K1246" s="107" t="s">
        <v>1561</v>
      </c>
      <c r="L1246" s="34" t="s">
        <v>1561</v>
      </c>
    </row>
    <row r="1247" spans="1:12" ht="16.5" x14ac:dyDescent="0.35">
      <c r="A1247" s="109" t="str">
        <f>HYPERLINK("http://www.examplebusiness.comresource-center/tax/tax-reform-before-and-after","http://www.examplebusiness.comresource-center/tax/tax-reform-before-and-after")</f>
        <v>http://www.examplebusiness.comresource-center/tax/tax-reform-before-and-after</v>
      </c>
      <c r="B1247" s="34">
        <v>4</v>
      </c>
      <c r="C1247" s="34">
        <v>0</v>
      </c>
      <c r="D1247" s="34">
        <v>0</v>
      </c>
      <c r="E1247" s="34">
        <v>0</v>
      </c>
      <c r="F1247" s="34">
        <v>301</v>
      </c>
      <c r="G1247" s="34">
        <v>0</v>
      </c>
      <c r="H1247" s="34"/>
      <c r="I1247" s="34" t="s">
        <v>1561</v>
      </c>
      <c r="J1247" s="34" t="s">
        <v>1561</v>
      </c>
      <c r="K1247" s="107" t="s">
        <v>1561</v>
      </c>
      <c r="L1247" s="34" t="s">
        <v>1561</v>
      </c>
    </row>
    <row r="1248" spans="1:12" ht="16.5" x14ac:dyDescent="0.35">
      <c r="A1248" s="109" t="str">
        <f>HYPERLINK("http://www.examplebusiness.comresource-center/tax/what-is-a-1035-exchange","http://www.examplebusiness.comresource-center/tax/what-is-a-1035-exchange")</f>
        <v>http://www.examplebusiness.comresource-center/tax/what-is-a-1035-exchange</v>
      </c>
      <c r="B1248" s="34">
        <v>4</v>
      </c>
      <c r="C1248" s="34">
        <v>0</v>
      </c>
      <c r="D1248" s="34">
        <v>0</v>
      </c>
      <c r="E1248" s="34">
        <v>0</v>
      </c>
      <c r="F1248" s="34">
        <v>301</v>
      </c>
      <c r="G1248" s="34">
        <v>0</v>
      </c>
      <c r="H1248" s="34"/>
      <c r="I1248" s="34" t="s">
        <v>1561</v>
      </c>
      <c r="J1248" s="34" t="s">
        <v>1561</v>
      </c>
      <c r="K1248" s="107" t="s">
        <v>1561</v>
      </c>
      <c r="L1248" s="34" t="s">
        <v>1561</v>
      </c>
    </row>
    <row r="1249" spans="1:12" ht="16.5" x14ac:dyDescent="0.35">
      <c r="A1249" s="109" t="str">
        <f>HYPERLINK("http://www.examplebusiness.comteam/dan-mohoney","http://www.examplebusiness.comteam/dan-mohoney")</f>
        <v>http://www.examplebusiness.comteam/dan-mohoney</v>
      </c>
      <c r="B1249" s="34">
        <v>4</v>
      </c>
      <c r="C1249" s="34">
        <v>0</v>
      </c>
      <c r="D1249" s="34">
        <v>0</v>
      </c>
      <c r="E1249" s="34">
        <v>0</v>
      </c>
      <c r="F1249" s="34">
        <v>301</v>
      </c>
      <c r="G1249" s="34">
        <v>0</v>
      </c>
      <c r="H1249" s="34"/>
      <c r="I1249" s="34" t="s">
        <v>1561</v>
      </c>
      <c r="J1249" s="34" t="s">
        <v>1561</v>
      </c>
      <c r="K1249" s="107" t="s">
        <v>1561</v>
      </c>
      <c r="L1249" s="34" t="s">
        <v>1561</v>
      </c>
    </row>
    <row r="1250" spans="1:12" ht="16.5" x14ac:dyDescent="0.35">
      <c r="A1250" s="109" t="str">
        <f>HYPERLINK("http://www.examplebusiness.comteam/theresa-goff","http://www.examplebusiness.comteam/theresa-goff")</f>
        <v>http://www.examplebusiness.comteam/theresa-goff</v>
      </c>
      <c r="B1250" s="34">
        <v>4</v>
      </c>
      <c r="C1250" s="34">
        <v>0</v>
      </c>
      <c r="D1250" s="34">
        <v>0</v>
      </c>
      <c r="E1250" s="34">
        <v>0</v>
      </c>
      <c r="F1250" s="34">
        <v>301</v>
      </c>
      <c r="G1250" s="34">
        <v>0</v>
      </c>
      <c r="H1250" s="34"/>
      <c r="I1250" s="34" t="s">
        <v>1561</v>
      </c>
      <c r="J1250" s="34" t="s">
        <v>1561</v>
      </c>
      <c r="K1250" s="107" t="s">
        <v>1561</v>
      </c>
      <c r="L1250" s="34" t="s">
        <v>1561</v>
      </c>
    </row>
    <row r="1251" spans="1:12" ht="16.5" x14ac:dyDescent="0.35">
      <c r="A1251" s="109" t="str">
        <f>HYPERLINK("http://www.examplebusiness.comteam/tom-whitnah","http://www.examplebusiness.comteam/tom-whitnah")</f>
        <v>http://www.examplebusiness.comteam/tom-whitnah</v>
      </c>
      <c r="B1251" s="34">
        <v>4</v>
      </c>
      <c r="C1251" s="34">
        <v>0</v>
      </c>
      <c r="D1251" s="34">
        <v>0</v>
      </c>
      <c r="E1251" s="34">
        <v>0</v>
      </c>
      <c r="F1251" s="34">
        <v>301</v>
      </c>
      <c r="G1251" s="34">
        <v>0</v>
      </c>
      <c r="H1251" s="34"/>
      <c r="I1251" s="34" t="s">
        <v>1561</v>
      </c>
      <c r="J1251" s="34" t="s">
        <v>1561</v>
      </c>
      <c r="K1251" s="107" t="s">
        <v>1561</v>
      </c>
      <c r="L1251" s="34" t="s">
        <v>1561</v>
      </c>
    </row>
    <row r="1252" spans="1:12" ht="16.5" x14ac:dyDescent="0.35">
      <c r="A1252" s="109" t="str">
        <f>HYPERLINK("http://www.examplebusiness.comblog/abc-financial-acquires-true-north-capital-alliance","http://www.examplebusiness.comblog/abc-financial-acquires-true-north-capital-alliance")</f>
        <v>http://www.examplebusiness.comblog/abc-financial-acquires-true-north-capital-alliance</v>
      </c>
      <c r="B1252" s="34">
        <v>4</v>
      </c>
      <c r="C1252" s="34">
        <v>0</v>
      </c>
      <c r="D1252" s="34">
        <v>0</v>
      </c>
      <c r="E1252" s="34">
        <v>0</v>
      </c>
      <c r="F1252" s="34">
        <v>301</v>
      </c>
      <c r="G1252" s="34">
        <v>0</v>
      </c>
      <c r="H1252" s="34"/>
      <c r="I1252" s="34" t="s">
        <v>1561</v>
      </c>
      <c r="J1252" s="34" t="s">
        <v>1561</v>
      </c>
      <c r="K1252" s="107" t="s">
        <v>1561</v>
      </c>
      <c r="L1252" s="34" t="s">
        <v>1561</v>
      </c>
    </row>
    <row r="1253" spans="1:12" ht="16.5" x14ac:dyDescent="0.35">
      <c r="A1253" s="109" t="str">
        <f>HYPERLINK("http://www.examplebusiness.comblog/wheres-your-spouse","http://www.examplebusiness.comblog/wheres-your-spouse")</f>
        <v>http://www.examplebusiness.comblog/wheres-your-spouse</v>
      </c>
      <c r="B1253" s="34">
        <v>4</v>
      </c>
      <c r="C1253" s="34">
        <v>0</v>
      </c>
      <c r="D1253" s="34">
        <v>0</v>
      </c>
      <c r="E1253" s="34">
        <v>0</v>
      </c>
      <c r="F1253" s="34">
        <v>301</v>
      </c>
      <c r="G1253" s="34">
        <v>0</v>
      </c>
      <c r="H1253" s="34"/>
      <c r="I1253" s="34" t="s">
        <v>1561</v>
      </c>
      <c r="J1253" s="34" t="s">
        <v>1561</v>
      </c>
      <c r="K1253" s="107" t="s">
        <v>1561</v>
      </c>
      <c r="L1253" s="34" t="s">
        <v>1561</v>
      </c>
    </row>
    <row r="1254" spans="1:12" ht="16.5" x14ac:dyDescent="0.35">
      <c r="A1254" s="109" t="str">
        <f>HYPERLINK("http://www.examplebusiness.comminneapolis-advisory-firm-specializing-in-401k-accounts","http://www.examplebusiness.comminneapolis-advisory-firm-specializing-in-401k-accounts")</f>
        <v>http://www.examplebusiness.comminneapolis-advisory-firm-specializing-in-401k-accounts</v>
      </c>
      <c r="B1254" s="34">
        <v>4</v>
      </c>
      <c r="C1254" s="34">
        <v>0</v>
      </c>
      <c r="D1254" s="34">
        <v>0</v>
      </c>
      <c r="E1254" s="34">
        <v>0</v>
      </c>
      <c r="F1254" s="34">
        <v>301</v>
      </c>
      <c r="G1254" s="34">
        <v>0</v>
      </c>
      <c r="H1254" s="34"/>
      <c r="I1254" s="34" t="s">
        <v>1561</v>
      </c>
      <c r="J1254" s="34" t="s">
        <v>1561</v>
      </c>
      <c r="K1254" s="107" t="s">
        <v>1561</v>
      </c>
      <c r="L1254" s="34" t="s">
        <v>1561</v>
      </c>
    </row>
    <row r="1255" spans="1:12" ht="16.5" x14ac:dyDescent="0.35">
      <c r="A1255" s="109" t="str">
        <f>HYPERLINK("http://www.examplebusiness.comresource-center/estate/choosing-a-business-structure","http://www.examplebusiness.comresource-center/estate/choosing-a-business-structure")</f>
        <v>http://www.examplebusiness.comresource-center/estate/choosing-a-business-structure</v>
      </c>
      <c r="B1255" s="34">
        <v>4</v>
      </c>
      <c r="C1255" s="34">
        <v>0</v>
      </c>
      <c r="D1255" s="34">
        <v>0</v>
      </c>
      <c r="E1255" s="34">
        <v>0</v>
      </c>
      <c r="F1255" s="34">
        <v>301</v>
      </c>
      <c r="G1255" s="34">
        <v>0</v>
      </c>
      <c r="H1255" s="34"/>
      <c r="I1255" s="34" t="s">
        <v>1561</v>
      </c>
      <c r="J1255" s="34" t="s">
        <v>1561</v>
      </c>
      <c r="K1255" s="107" t="s">
        <v>1561</v>
      </c>
      <c r="L1255" s="34" t="s">
        <v>1561</v>
      </c>
    </row>
    <row r="1256" spans="1:12" ht="16.5" x14ac:dyDescent="0.35">
      <c r="A1256" s="109" t="str">
        <f>HYPERLINK("http://www.examplebusiness.comresource-center/estate/succeeding-at-business-succession","http://www.examplebusiness.comresource-center/estate/succeeding-at-business-succession")</f>
        <v>http://www.examplebusiness.comresource-center/estate/succeeding-at-business-succession</v>
      </c>
      <c r="B1256" s="34">
        <v>4</v>
      </c>
      <c r="C1256" s="34">
        <v>0</v>
      </c>
      <c r="D1256" s="34">
        <v>0</v>
      </c>
      <c r="E1256" s="34">
        <v>0</v>
      </c>
      <c r="F1256" s="34">
        <v>301</v>
      </c>
      <c r="G1256" s="34">
        <v>0</v>
      </c>
      <c r="H1256" s="34"/>
      <c r="I1256" s="34" t="s">
        <v>1561</v>
      </c>
      <c r="J1256" s="34" t="s">
        <v>1561</v>
      </c>
      <c r="K1256" s="107" t="s">
        <v>1561</v>
      </c>
      <c r="L1256" s="34" t="s">
        <v>1561</v>
      </c>
    </row>
    <row r="1257" spans="1:12" ht="16.5" x14ac:dyDescent="0.35">
      <c r="A1257" s="109" t="str">
        <f>HYPERLINK("http://www.examplebusiness.comresource-center/estate/what-is-my-life-expectancy","http://www.examplebusiness.comresource-center/estate/what-is-my-life-expectancy")</f>
        <v>http://www.examplebusiness.comresource-center/estate/what-is-my-life-expectancy</v>
      </c>
      <c r="B1257" s="34">
        <v>4</v>
      </c>
      <c r="C1257" s="34">
        <v>0</v>
      </c>
      <c r="D1257" s="34">
        <v>0</v>
      </c>
      <c r="E1257" s="34">
        <v>0</v>
      </c>
      <c r="F1257" s="34">
        <v>301</v>
      </c>
      <c r="G1257" s="34">
        <v>0</v>
      </c>
      <c r="H1257" s="34"/>
      <c r="I1257" s="34" t="s">
        <v>1561</v>
      </c>
      <c r="J1257" s="34" t="s">
        <v>1561</v>
      </c>
      <c r="K1257" s="107" t="s">
        <v>1561</v>
      </c>
      <c r="L1257" s="34" t="s">
        <v>1561</v>
      </c>
    </row>
    <row r="1258" spans="1:12" ht="16.5" x14ac:dyDescent="0.35">
      <c r="A1258" s="109" t="str">
        <f>HYPERLINK("http://www.examplebusiness.comresource-center/estate/what-is-the-value-of-your-business","http://www.examplebusiness.comresource-center/estate/what-is-the-value-of-your-business")</f>
        <v>http://www.examplebusiness.comresource-center/estate/what-is-the-value-of-your-business</v>
      </c>
      <c r="B1258" s="34">
        <v>4</v>
      </c>
      <c r="C1258" s="34">
        <v>0</v>
      </c>
      <c r="D1258" s="34">
        <v>0</v>
      </c>
      <c r="E1258" s="34">
        <v>0</v>
      </c>
      <c r="F1258" s="34">
        <v>301</v>
      </c>
      <c r="G1258" s="34">
        <v>0</v>
      </c>
      <c r="H1258" s="34"/>
      <c r="I1258" s="34" t="s">
        <v>1561</v>
      </c>
      <c r="J1258" s="34" t="s">
        <v>1561</v>
      </c>
      <c r="K1258" s="107" t="s">
        <v>1561</v>
      </c>
      <c r="L1258" s="34" t="s">
        <v>1561</v>
      </c>
    </row>
    <row r="1259" spans="1:12" ht="16.5" x14ac:dyDescent="0.35">
      <c r="A1259" s="109" t="str">
        <f>HYPERLINK("http://www.examplebusiness.comresource-center/insurance/insurance-following-a-divorce","http://www.examplebusiness.comresource-center/insurance/insurance-following-a-divorce")</f>
        <v>http://www.examplebusiness.comresource-center/insurance/insurance-following-a-divorce</v>
      </c>
      <c r="B1259" s="34">
        <v>4</v>
      </c>
      <c r="C1259" s="34">
        <v>0</v>
      </c>
      <c r="D1259" s="34">
        <v>0</v>
      </c>
      <c r="E1259" s="34">
        <v>0</v>
      </c>
      <c r="F1259" s="34">
        <v>301</v>
      </c>
      <c r="G1259" s="34">
        <v>0</v>
      </c>
      <c r="H1259" s="34"/>
      <c r="I1259" s="34" t="s">
        <v>1561</v>
      </c>
      <c r="J1259" s="34" t="s">
        <v>1561</v>
      </c>
      <c r="K1259" s="107" t="s">
        <v>1561</v>
      </c>
      <c r="L1259" s="34" t="s">
        <v>1561</v>
      </c>
    </row>
    <row r="1260" spans="1:12" ht="16.5" x14ac:dyDescent="0.35">
      <c r="A1260" s="109" t="str">
        <f>HYPERLINK("http://www.examplebusiness.comresource-center/insurance/insurance-needs-assessment-when-youre-newly-married","http://www.examplebusiness.comresource-center/insurance/insurance-needs-assessment-when-youre-newly-married")</f>
        <v>http://www.examplebusiness.comresource-center/insurance/insurance-needs-assessment-when-youre-newly-married</v>
      </c>
      <c r="B1260" s="34">
        <v>4</v>
      </c>
      <c r="C1260" s="34">
        <v>0</v>
      </c>
      <c r="D1260" s="34">
        <v>0</v>
      </c>
      <c r="E1260" s="34">
        <v>0</v>
      </c>
      <c r="F1260" s="34">
        <v>301</v>
      </c>
      <c r="G1260" s="34">
        <v>0</v>
      </c>
      <c r="H1260" s="34"/>
      <c r="I1260" s="34" t="s">
        <v>1561</v>
      </c>
      <c r="J1260" s="34" t="s">
        <v>1561</v>
      </c>
      <c r="K1260" s="107" t="s">
        <v>1561</v>
      </c>
      <c r="L1260" s="34" t="s">
        <v>1561</v>
      </c>
    </row>
    <row r="1261" spans="1:12" ht="16.5" x14ac:dyDescent="0.35">
      <c r="A1261" s="109" t="str">
        <f>HYPERLINK("http://www.examplebusiness.comresource-center/insurance/lifetime-of-earnings","http://www.examplebusiness.comresource-center/insurance/lifetime-of-earnings")</f>
        <v>http://www.examplebusiness.comresource-center/insurance/lifetime-of-earnings</v>
      </c>
      <c r="B1261" s="34">
        <v>4</v>
      </c>
      <c r="C1261" s="34">
        <v>0</v>
      </c>
      <c r="D1261" s="34">
        <v>0</v>
      </c>
      <c r="E1261" s="34">
        <v>0</v>
      </c>
      <c r="F1261" s="34">
        <v>301</v>
      </c>
      <c r="G1261" s="34">
        <v>0</v>
      </c>
      <c r="H1261" s="34"/>
      <c r="I1261" s="34" t="s">
        <v>1561</v>
      </c>
      <c r="J1261" s="34" t="s">
        <v>1561</v>
      </c>
      <c r="K1261" s="107" t="s">
        <v>1561</v>
      </c>
      <c r="L1261" s="34" t="s">
        <v>1561</v>
      </c>
    </row>
    <row r="1262" spans="1:12" ht="16.5" x14ac:dyDescent="0.35">
      <c r="A1262" s="109" t="str">
        <f>HYPERLINK("http://www.examplebusiness.comresource-center/insurance/universal-life-insurance","http://www.examplebusiness.comresource-center/insurance/universal-life-insurance")</f>
        <v>http://www.examplebusiness.comresource-center/insurance/universal-life-insurance</v>
      </c>
      <c r="B1262" s="34">
        <v>4</v>
      </c>
      <c r="C1262" s="34">
        <v>0</v>
      </c>
      <c r="D1262" s="34">
        <v>0</v>
      </c>
      <c r="E1262" s="34">
        <v>0</v>
      </c>
      <c r="F1262" s="34">
        <v>301</v>
      </c>
      <c r="G1262" s="34">
        <v>0</v>
      </c>
      <c r="H1262" s="34"/>
      <c r="I1262" s="34" t="s">
        <v>1561</v>
      </c>
      <c r="J1262" s="34" t="s">
        <v>1561</v>
      </c>
      <c r="K1262" s="107" t="s">
        <v>1561</v>
      </c>
      <c r="L1262" s="34" t="s">
        <v>1561</v>
      </c>
    </row>
    <row r="1263" spans="1:12" ht="16.5" x14ac:dyDescent="0.35">
      <c r="A1263" s="109" t="str">
        <f>HYPERLINK("http://www.examplebusiness.comresource-center/investment/a-primer-on-dividends","http://www.examplebusiness.comresource-center/investment/a-primer-on-dividends")</f>
        <v>http://www.examplebusiness.comresource-center/investment/a-primer-on-dividends</v>
      </c>
      <c r="B1263" s="34">
        <v>4</v>
      </c>
      <c r="C1263" s="34">
        <v>0</v>
      </c>
      <c r="D1263" s="34">
        <v>0</v>
      </c>
      <c r="E1263" s="34">
        <v>0</v>
      </c>
      <c r="F1263" s="34">
        <v>301</v>
      </c>
      <c r="G1263" s="34">
        <v>0</v>
      </c>
      <c r="H1263" s="34"/>
      <c r="I1263" s="34" t="s">
        <v>1561</v>
      </c>
      <c r="J1263" s="34" t="s">
        <v>1561</v>
      </c>
      <c r="K1263" s="107" t="s">
        <v>1561</v>
      </c>
      <c r="L1263" s="34" t="s">
        <v>1561</v>
      </c>
    </row>
    <row r="1264" spans="1:12" ht="16.5" x14ac:dyDescent="0.35">
      <c r="A1264" s="109" t="str">
        <f>HYPERLINK("http://www.examplebusiness.comresource-center/investment/can-election-results-predict-the-market","http://www.examplebusiness.comresource-center/investment/can-election-results-predict-the-market")</f>
        <v>http://www.examplebusiness.comresource-center/investment/can-election-results-predict-the-market</v>
      </c>
      <c r="B1264" s="34">
        <v>4</v>
      </c>
      <c r="C1264" s="34">
        <v>0</v>
      </c>
      <c r="D1264" s="34">
        <v>0</v>
      </c>
      <c r="E1264" s="34">
        <v>0</v>
      </c>
      <c r="F1264" s="34">
        <v>301</v>
      </c>
      <c r="G1264" s="34">
        <v>0</v>
      </c>
      <c r="H1264" s="34"/>
      <c r="I1264" s="34" t="s">
        <v>1561</v>
      </c>
      <c r="J1264" s="34" t="s">
        <v>1561</v>
      </c>
      <c r="K1264" s="107" t="s">
        <v>1561</v>
      </c>
      <c r="L1264" s="34" t="s">
        <v>1561</v>
      </c>
    </row>
    <row r="1265" spans="1:12" ht="16.5" x14ac:dyDescent="0.35">
      <c r="A1265" s="109" t="str">
        <f>HYPERLINK("http://www.examplebusiness.comresource-center/investment/from-boats-to-brokers-a-history-of-the-stock-market","http://www.examplebusiness.comresource-center/investment/from-boats-to-brokers-a-history-of-the-stock-market")</f>
        <v>http://www.examplebusiness.comresource-center/investment/from-boats-to-brokers-a-history-of-the-stock-market</v>
      </c>
      <c r="B1265" s="34">
        <v>4</v>
      </c>
      <c r="C1265" s="34">
        <v>0</v>
      </c>
      <c r="D1265" s="34">
        <v>0</v>
      </c>
      <c r="E1265" s="34">
        <v>0</v>
      </c>
      <c r="F1265" s="34">
        <v>301</v>
      </c>
      <c r="G1265" s="34">
        <v>0</v>
      </c>
      <c r="H1265" s="34"/>
      <c r="I1265" s="34" t="s">
        <v>1561</v>
      </c>
      <c r="J1265" s="34" t="s">
        <v>1561</v>
      </c>
      <c r="K1265" s="107" t="s">
        <v>1561</v>
      </c>
      <c r="L1265" s="34" t="s">
        <v>1561</v>
      </c>
    </row>
    <row r="1266" spans="1:12" ht="16.5" x14ac:dyDescent="0.35">
      <c r="A1266" s="109" t="str">
        <f>HYPERLINK("http://www.examplebusiness.comresource-center/investment/rebalancing-your-portfolio","http://www.examplebusiness.comresource-center/investment/rebalancing-your-portfolio")</f>
        <v>http://www.examplebusiness.comresource-center/investment/rebalancing-your-portfolio</v>
      </c>
      <c r="B1266" s="34">
        <v>4</v>
      </c>
      <c r="C1266" s="34">
        <v>0</v>
      </c>
      <c r="D1266" s="34">
        <v>0</v>
      </c>
      <c r="E1266" s="34">
        <v>0</v>
      </c>
      <c r="F1266" s="34">
        <v>301</v>
      </c>
      <c r="G1266" s="34">
        <v>0</v>
      </c>
      <c r="H1266" s="34"/>
      <c r="I1266" s="34" t="s">
        <v>1561</v>
      </c>
      <c r="J1266" s="34" t="s">
        <v>1561</v>
      </c>
      <c r="K1266" s="107" t="s">
        <v>1561</v>
      </c>
      <c r="L1266" s="34" t="s">
        <v>1561</v>
      </c>
    </row>
    <row r="1267" spans="1:12" ht="16.5" x14ac:dyDescent="0.35">
      <c r="A1267" s="109" t="str">
        <f>HYPERLINK("http://www.examplebusiness.comresource-center/investment/the-junk-drawer-approach-to-investing","http://www.examplebusiness.comresource-center/investment/the-junk-drawer-approach-to-investing")</f>
        <v>http://www.examplebusiness.comresource-center/investment/the-junk-drawer-approach-to-investing</v>
      </c>
      <c r="B1267" s="34">
        <v>4</v>
      </c>
      <c r="C1267" s="34">
        <v>0</v>
      </c>
      <c r="D1267" s="34">
        <v>0</v>
      </c>
      <c r="E1267" s="34">
        <v>0</v>
      </c>
      <c r="F1267" s="34">
        <v>301</v>
      </c>
      <c r="G1267" s="34">
        <v>0</v>
      </c>
      <c r="H1267" s="34"/>
      <c r="I1267" s="34" t="s">
        <v>1561</v>
      </c>
      <c r="J1267" s="34" t="s">
        <v>1561</v>
      </c>
      <c r="K1267" s="107" t="s">
        <v>1561</v>
      </c>
      <c r="L1267" s="34" t="s">
        <v>1561</v>
      </c>
    </row>
    <row r="1268" spans="1:12" ht="16.5" x14ac:dyDescent="0.35">
      <c r="A1268" s="109" t="str">
        <f>HYPERLINK("http://www.examplebusiness.comresource-center/lifestyle/building-your-legacy","http://www.examplebusiness.comresource-center/lifestyle/building-your-legacy")</f>
        <v>http://www.examplebusiness.comresource-center/lifestyle/building-your-legacy</v>
      </c>
      <c r="B1268" s="34">
        <v>4</v>
      </c>
      <c r="C1268" s="34">
        <v>0</v>
      </c>
      <c r="D1268" s="34">
        <v>0</v>
      </c>
      <c r="E1268" s="34">
        <v>0</v>
      </c>
      <c r="F1268" s="34">
        <v>301</v>
      </c>
      <c r="G1268" s="34">
        <v>0</v>
      </c>
      <c r="H1268" s="34"/>
      <c r="I1268" s="34" t="s">
        <v>1561</v>
      </c>
      <c r="J1268" s="34" t="s">
        <v>1561</v>
      </c>
      <c r="K1268" s="107" t="s">
        <v>1561</v>
      </c>
      <c r="L1268" s="34" t="s">
        <v>1561</v>
      </c>
    </row>
    <row r="1269" spans="1:12" ht="16.5" x14ac:dyDescent="0.35">
      <c r="A1269" s="109" t="str">
        <f>HYPERLINK("http://www.examplebusiness.comresource-center/lifestyle/choosing-a-mortgage","http://www.examplebusiness.comresource-center/lifestyle/choosing-a-mortgage")</f>
        <v>http://www.examplebusiness.comresource-center/lifestyle/choosing-a-mortgage</v>
      </c>
      <c r="B1269" s="34">
        <v>4</v>
      </c>
      <c r="C1269" s="34">
        <v>0</v>
      </c>
      <c r="D1269" s="34">
        <v>0</v>
      </c>
      <c r="E1269" s="34">
        <v>0</v>
      </c>
      <c r="F1269" s="34">
        <v>301</v>
      </c>
      <c r="G1269" s="34">
        <v>0</v>
      </c>
      <c r="H1269" s="34"/>
      <c r="I1269" s="34" t="s">
        <v>1561</v>
      </c>
      <c r="J1269" s="34" t="s">
        <v>1561</v>
      </c>
      <c r="K1269" s="107" t="s">
        <v>1561</v>
      </c>
      <c r="L1269" s="34" t="s">
        <v>1561</v>
      </c>
    </row>
    <row r="1270" spans="1:12" ht="16.5" x14ac:dyDescent="0.35">
      <c r="A1270" s="109" t="str">
        <f>HYPERLINK("http://www.examplebusiness.comresource-center/lifestyle/comparing-mortgage-terms","http://www.examplebusiness.comresource-center/lifestyle/comparing-mortgage-terms")</f>
        <v>http://www.examplebusiness.comresource-center/lifestyle/comparing-mortgage-terms</v>
      </c>
      <c r="B1270" s="34">
        <v>4</v>
      </c>
      <c r="C1270" s="34">
        <v>0</v>
      </c>
      <c r="D1270" s="34">
        <v>0</v>
      </c>
      <c r="E1270" s="34">
        <v>0</v>
      </c>
      <c r="F1270" s="34">
        <v>301</v>
      </c>
      <c r="G1270" s="34">
        <v>0</v>
      </c>
      <c r="H1270" s="34"/>
      <c r="I1270" s="34" t="s">
        <v>1561</v>
      </c>
      <c r="J1270" s="34" t="s">
        <v>1561</v>
      </c>
      <c r="K1270" s="107" t="s">
        <v>1561</v>
      </c>
      <c r="L1270" s="34" t="s">
        <v>1561</v>
      </c>
    </row>
    <row r="1271" spans="1:12" ht="16.5" x14ac:dyDescent="0.35">
      <c r="A1271" s="109" t="str">
        <f>HYPERLINK("http://www.examplebusiness.comresource-center/lifestyle/money-draining-food-myths","http://www.examplebusiness.comresource-center/lifestyle/money-draining-food-myths")</f>
        <v>http://www.examplebusiness.comresource-center/lifestyle/money-draining-food-myths</v>
      </c>
      <c r="B1271" s="34">
        <v>4</v>
      </c>
      <c r="C1271" s="34">
        <v>0</v>
      </c>
      <c r="D1271" s="34">
        <v>0</v>
      </c>
      <c r="E1271" s="34">
        <v>0</v>
      </c>
      <c r="F1271" s="34">
        <v>301</v>
      </c>
      <c r="G1271" s="34">
        <v>0</v>
      </c>
      <c r="H1271" s="34"/>
      <c r="I1271" s="34" t="s">
        <v>1561</v>
      </c>
      <c r="J1271" s="34" t="s">
        <v>1561</v>
      </c>
      <c r="K1271" s="107" t="s">
        <v>1561</v>
      </c>
      <c r="L1271" s="34" t="s">
        <v>1561</v>
      </c>
    </row>
    <row r="1272" spans="1:12" ht="16.5" x14ac:dyDescent="0.35">
      <c r="A1272" s="109" t="str">
        <f>HYPERLINK("http://www.examplebusiness.comresource-center/lifestyle/surprises-advisormercial","http://www.examplebusiness.comresource-center/lifestyle/surprises-advisormercial")</f>
        <v>http://www.examplebusiness.comresource-center/lifestyle/surprises-advisormercial</v>
      </c>
      <c r="B1272" s="34">
        <v>4</v>
      </c>
      <c r="C1272" s="34">
        <v>0</v>
      </c>
      <c r="D1272" s="34">
        <v>0</v>
      </c>
      <c r="E1272" s="34">
        <v>0</v>
      </c>
      <c r="F1272" s="34">
        <v>301</v>
      </c>
      <c r="G1272" s="34">
        <v>0</v>
      </c>
      <c r="H1272" s="34"/>
      <c r="I1272" s="34" t="s">
        <v>1561</v>
      </c>
      <c r="J1272" s="34" t="s">
        <v>1561</v>
      </c>
      <c r="K1272" s="107" t="s">
        <v>1561</v>
      </c>
      <c r="L1272" s="34" t="s">
        <v>1561</v>
      </c>
    </row>
    <row r="1273" spans="1:12" ht="16.5" x14ac:dyDescent="0.35">
      <c r="A1273" s="109" t="str">
        <f>HYPERLINK("http://www.examplebusiness.comresource-center/money/budgeting-after-a-divorce-1","http://www.examplebusiness.comresource-center/money/budgeting-after-a-divorce-1")</f>
        <v>http://www.examplebusiness.comresource-center/money/budgeting-after-a-divorce-1</v>
      </c>
      <c r="B1273" s="34">
        <v>4</v>
      </c>
      <c r="C1273" s="34">
        <v>0</v>
      </c>
      <c r="D1273" s="34">
        <v>0</v>
      </c>
      <c r="E1273" s="34">
        <v>0</v>
      </c>
      <c r="F1273" s="34">
        <v>301</v>
      </c>
      <c r="G1273" s="34">
        <v>0</v>
      </c>
      <c r="H1273" s="34"/>
      <c r="I1273" s="34" t="s">
        <v>1561</v>
      </c>
      <c r="J1273" s="34" t="s">
        <v>1561</v>
      </c>
      <c r="K1273" s="107" t="s">
        <v>1561</v>
      </c>
      <c r="L1273" s="34" t="s">
        <v>1561</v>
      </c>
    </row>
    <row r="1274" spans="1:12" ht="16.5" x14ac:dyDescent="0.35">
      <c r="A1274" s="109" t="str">
        <f>HYPERLINK("http://www.examplebusiness.comresource-center/money/keeping-up-with-the-joneses","http://www.examplebusiness.comresource-center/money/keeping-up-with-the-joneses")</f>
        <v>http://www.examplebusiness.comresource-center/money/keeping-up-with-the-joneses</v>
      </c>
      <c r="B1274" s="34">
        <v>4</v>
      </c>
      <c r="C1274" s="34">
        <v>0</v>
      </c>
      <c r="D1274" s="34">
        <v>0</v>
      </c>
      <c r="E1274" s="34">
        <v>0</v>
      </c>
      <c r="F1274" s="34">
        <v>301</v>
      </c>
      <c r="G1274" s="34">
        <v>0</v>
      </c>
      <c r="H1274" s="34"/>
      <c r="I1274" s="34" t="s">
        <v>1561</v>
      </c>
      <c r="J1274" s="34" t="s">
        <v>1561</v>
      </c>
      <c r="K1274" s="107" t="s">
        <v>1561</v>
      </c>
      <c r="L1274" s="34" t="s">
        <v>1561</v>
      </c>
    </row>
    <row r="1275" spans="1:12" ht="16.5" x14ac:dyDescent="0.35">
      <c r="A1275" s="109" t="str">
        <f>HYPERLINK("http://www.examplebusiness.comresource-center/money/pay-yourself-first","http://www.examplebusiness.comresource-center/money/pay-yourself-first")</f>
        <v>http://www.examplebusiness.comresource-center/money/pay-yourself-first</v>
      </c>
      <c r="B1275" s="34">
        <v>4</v>
      </c>
      <c r="C1275" s="34">
        <v>0</v>
      </c>
      <c r="D1275" s="34">
        <v>0</v>
      </c>
      <c r="E1275" s="34">
        <v>0</v>
      </c>
      <c r="F1275" s="34">
        <v>301</v>
      </c>
      <c r="G1275" s="34">
        <v>0</v>
      </c>
      <c r="H1275" s="34"/>
      <c r="I1275" s="34" t="s">
        <v>1561</v>
      </c>
      <c r="J1275" s="34" t="s">
        <v>1561</v>
      </c>
      <c r="K1275" s="107" t="s">
        <v>1561</v>
      </c>
      <c r="L1275" s="34" t="s">
        <v>1561</v>
      </c>
    </row>
    <row r="1276" spans="1:12" ht="16.5" x14ac:dyDescent="0.35">
      <c r="A1276" s="109" t="str">
        <f>HYPERLINK("http://www.examplebusiness.comresource-center/money/the-latte-lie-and-other-myths","http://www.examplebusiness.comresource-center/money/the-latte-lie-and-other-myths")</f>
        <v>http://www.examplebusiness.comresource-center/money/the-latte-lie-and-other-myths</v>
      </c>
      <c r="B1276" s="34">
        <v>4</v>
      </c>
      <c r="C1276" s="34">
        <v>0</v>
      </c>
      <c r="D1276" s="34">
        <v>0</v>
      </c>
      <c r="E1276" s="34">
        <v>0</v>
      </c>
      <c r="F1276" s="34">
        <v>301</v>
      </c>
      <c r="G1276" s="34">
        <v>0</v>
      </c>
      <c r="H1276" s="34"/>
      <c r="I1276" s="34" t="s">
        <v>1561</v>
      </c>
      <c r="J1276" s="34" t="s">
        <v>1561</v>
      </c>
      <c r="K1276" s="107" t="s">
        <v>1561</v>
      </c>
      <c r="L1276" s="34" t="s">
        <v>1561</v>
      </c>
    </row>
    <row r="1277" spans="1:12" ht="16.5" x14ac:dyDescent="0.35">
      <c r="A1277" s="109" t="str">
        <f>HYPERLINK("http://www.examplebusiness.comresource-center/retirement/choosing-a-retirement-plan-that-fits-your-business","http://www.examplebusiness.comresource-center/retirement/choosing-a-retirement-plan-that-fits-your-business")</f>
        <v>http://www.examplebusiness.comresource-center/retirement/choosing-a-retirement-plan-that-fits-your-business</v>
      </c>
      <c r="B1277" s="34">
        <v>4</v>
      </c>
      <c r="C1277" s="34">
        <v>0</v>
      </c>
      <c r="D1277" s="34">
        <v>0</v>
      </c>
      <c r="E1277" s="34">
        <v>0</v>
      </c>
      <c r="F1277" s="34">
        <v>301</v>
      </c>
      <c r="G1277" s="34">
        <v>0</v>
      </c>
      <c r="H1277" s="34"/>
      <c r="I1277" s="34" t="s">
        <v>1561</v>
      </c>
      <c r="J1277" s="34" t="s">
        <v>1561</v>
      </c>
      <c r="K1277" s="107" t="s">
        <v>1561</v>
      </c>
      <c r="L1277" s="34" t="s">
        <v>1561</v>
      </c>
    </row>
    <row r="1278" spans="1:12" ht="16.5" x14ac:dyDescent="0.35">
      <c r="A1278" s="109" t="str">
        <f>HYPERLINK("http://www.examplebusiness.comresource-center/retirement/deciding-on-social-security","http://www.examplebusiness.comresource-center/retirement/deciding-on-social-security")</f>
        <v>http://www.examplebusiness.comresource-center/retirement/deciding-on-social-security</v>
      </c>
      <c r="B1278" s="34">
        <v>4</v>
      </c>
      <c r="C1278" s="34">
        <v>0</v>
      </c>
      <c r="D1278" s="34">
        <v>0</v>
      </c>
      <c r="E1278" s="34">
        <v>0</v>
      </c>
      <c r="F1278" s="34">
        <v>301</v>
      </c>
      <c r="G1278" s="34">
        <v>0</v>
      </c>
      <c r="H1278" s="34"/>
      <c r="I1278" s="34" t="s">
        <v>1561</v>
      </c>
      <c r="J1278" s="34" t="s">
        <v>1561</v>
      </c>
      <c r="K1278" s="107" t="s">
        <v>1561</v>
      </c>
      <c r="L1278" s="34" t="s">
        <v>1561</v>
      </c>
    </row>
    <row r="1279" spans="1:12" ht="16.5" x14ac:dyDescent="0.35">
      <c r="A1279" s="109" t="str">
        <f>HYPERLINK("http://www.examplebusiness.comresource-center/retirement/important-birthdays-over-50","http://www.examplebusiness.comresource-center/retirement/important-birthdays-over-50")</f>
        <v>http://www.examplebusiness.comresource-center/retirement/important-birthdays-over-50</v>
      </c>
      <c r="B1279" s="34">
        <v>4</v>
      </c>
      <c r="C1279" s="34">
        <v>0</v>
      </c>
      <c r="D1279" s="34">
        <v>0</v>
      </c>
      <c r="E1279" s="34">
        <v>0</v>
      </c>
      <c r="F1279" s="34">
        <v>301</v>
      </c>
      <c r="G1279" s="34">
        <v>0</v>
      </c>
      <c r="H1279" s="34"/>
      <c r="I1279" s="34" t="s">
        <v>1561</v>
      </c>
      <c r="J1279" s="34" t="s">
        <v>1561</v>
      </c>
      <c r="K1279" s="107" t="s">
        <v>1561</v>
      </c>
      <c r="L1279" s="34" t="s">
        <v>1561</v>
      </c>
    </row>
    <row r="1280" spans="1:12" ht="16.5" x14ac:dyDescent="0.35">
      <c r="A1280" s="109" t="str">
        <f>HYPERLINK("http://www.examplebusiness.comresource-center/retirement/is-a-variable-annuity-right-for-me","http://www.examplebusiness.comresource-center/retirement/is-a-variable-annuity-right-for-me")</f>
        <v>http://www.examplebusiness.comresource-center/retirement/is-a-variable-annuity-right-for-me</v>
      </c>
      <c r="B1280" s="34">
        <v>4</v>
      </c>
      <c r="C1280" s="34">
        <v>0</v>
      </c>
      <c r="D1280" s="34">
        <v>0</v>
      </c>
      <c r="E1280" s="34">
        <v>0</v>
      </c>
      <c r="F1280" s="34">
        <v>301</v>
      </c>
      <c r="G1280" s="34">
        <v>0</v>
      </c>
      <c r="H1280" s="34"/>
      <c r="I1280" s="34" t="s">
        <v>1561</v>
      </c>
      <c r="J1280" s="34" t="s">
        <v>1561</v>
      </c>
      <c r="K1280" s="107" t="s">
        <v>1561</v>
      </c>
      <c r="L1280" s="34" t="s">
        <v>1561</v>
      </c>
    </row>
    <row r="1281" spans="1:12" ht="16.5" x14ac:dyDescent="0.35">
      <c r="A1281" s="109" t="str">
        <f>HYPERLINK("http://www.examplebusiness.comresource-center/retirement/social-security-by-the-numbers","http://www.examplebusiness.comresource-center/retirement/social-security-by-the-numbers")</f>
        <v>http://www.examplebusiness.comresource-center/retirement/social-security-by-the-numbers</v>
      </c>
      <c r="B1281" s="34">
        <v>4</v>
      </c>
      <c r="C1281" s="34">
        <v>0</v>
      </c>
      <c r="D1281" s="34">
        <v>0</v>
      </c>
      <c r="E1281" s="34">
        <v>0</v>
      </c>
      <c r="F1281" s="34">
        <v>301</v>
      </c>
      <c r="G1281" s="34">
        <v>0</v>
      </c>
      <c r="H1281" s="34"/>
      <c r="I1281" s="34" t="s">
        <v>1561</v>
      </c>
      <c r="J1281" s="34" t="s">
        <v>1561</v>
      </c>
      <c r="K1281" s="107" t="s">
        <v>1561</v>
      </c>
      <c r="L1281" s="34" t="s">
        <v>1561</v>
      </c>
    </row>
    <row r="1282" spans="1:12" ht="16.5" x14ac:dyDescent="0.35">
      <c r="A1282" s="109" t="str">
        <f>HYPERLINK("http://www.examplebusiness.comresource-center/retirement/social-security-the-elephant-in-the-room","http://www.examplebusiness.comresource-center/retirement/social-security-the-elephant-in-the-room")</f>
        <v>http://www.examplebusiness.comresource-center/retirement/social-security-the-elephant-in-the-room</v>
      </c>
      <c r="B1282" s="34">
        <v>4</v>
      </c>
      <c r="C1282" s="34">
        <v>0</v>
      </c>
      <c r="D1282" s="34">
        <v>0</v>
      </c>
      <c r="E1282" s="34">
        <v>0</v>
      </c>
      <c r="F1282" s="34">
        <v>301</v>
      </c>
      <c r="G1282" s="34">
        <v>0</v>
      </c>
      <c r="H1282" s="34"/>
      <c r="I1282" s="34" t="s">
        <v>1561</v>
      </c>
      <c r="J1282" s="34" t="s">
        <v>1561</v>
      </c>
      <c r="K1282" s="107" t="s">
        <v>1561</v>
      </c>
      <c r="L1282" s="34" t="s">
        <v>1561</v>
      </c>
    </row>
    <row r="1283" spans="1:12" ht="16.5" x14ac:dyDescent="0.35">
      <c r="A1283" s="109" t="str">
        <f>HYPERLINK("http://www.examplebusiness.comresource-center/tax/donating-art-taxation-abstraction","http://www.examplebusiness.comresource-center/tax/donating-art-taxation-abstraction")</f>
        <v>http://www.examplebusiness.comresource-center/tax/donating-art-taxation-abstraction</v>
      </c>
      <c r="B1283" s="34">
        <v>4</v>
      </c>
      <c r="C1283" s="34">
        <v>0</v>
      </c>
      <c r="D1283" s="34">
        <v>0</v>
      </c>
      <c r="E1283" s="34">
        <v>0</v>
      </c>
      <c r="F1283" s="34">
        <v>301</v>
      </c>
      <c r="G1283" s="34">
        <v>0</v>
      </c>
      <c r="H1283" s="34"/>
      <c r="I1283" s="34" t="s">
        <v>1561</v>
      </c>
      <c r="J1283" s="34" t="s">
        <v>1561</v>
      </c>
      <c r="K1283" s="107" t="s">
        <v>1561</v>
      </c>
      <c r="L1283" s="34" t="s">
        <v>1561</v>
      </c>
    </row>
    <row r="1284" spans="1:12" ht="16.5" x14ac:dyDescent="0.35">
      <c r="A1284" s="109" t="str">
        <f>HYPERLINK("http://www.examplebusiness.comteam/patrick-flaten","http://www.examplebusiness.comteam/patrick-flaten")</f>
        <v>http://www.examplebusiness.comteam/patrick-flaten</v>
      </c>
      <c r="B1284" s="34">
        <v>4</v>
      </c>
      <c r="C1284" s="34">
        <v>0</v>
      </c>
      <c r="D1284" s="34">
        <v>0</v>
      </c>
      <c r="E1284" s="34">
        <v>0</v>
      </c>
      <c r="F1284" s="34">
        <v>301</v>
      </c>
      <c r="G1284" s="34">
        <v>0</v>
      </c>
      <c r="H1284" s="34"/>
      <c r="I1284" s="34" t="s">
        <v>1561</v>
      </c>
      <c r="J1284" s="34" t="s">
        <v>1561</v>
      </c>
      <c r="K1284" s="107" t="s">
        <v>1561</v>
      </c>
      <c r="L1284" s="34" t="s">
        <v>1561</v>
      </c>
    </row>
    <row r="1285" spans="1:12" ht="16.5" x14ac:dyDescent="0.35">
      <c r="A1285" s="109" t="str">
        <f>HYPERLINK("http://www.examplebusiness.comteam/robert-withers","http://www.examplebusiness.comteam/robert-withers")</f>
        <v>http://www.examplebusiness.comteam/robert-withers</v>
      </c>
      <c r="B1285" s="34">
        <v>4</v>
      </c>
      <c r="C1285" s="34">
        <v>0</v>
      </c>
      <c r="D1285" s="34">
        <v>0</v>
      </c>
      <c r="E1285" s="34">
        <v>0</v>
      </c>
      <c r="F1285" s="34">
        <v>301</v>
      </c>
      <c r="G1285" s="34">
        <v>0</v>
      </c>
      <c r="H1285" s="34"/>
      <c r="I1285" s="34" t="s">
        <v>1561</v>
      </c>
      <c r="J1285" s="34" t="s">
        <v>1561</v>
      </c>
      <c r="K1285" s="107" t="s">
        <v>1561</v>
      </c>
      <c r="L1285" s="34" t="s">
        <v>1561</v>
      </c>
    </row>
    <row r="1286" spans="1:12" ht="16.5" x14ac:dyDescent="0.35">
      <c r="A1286" s="109" t="str">
        <f>HYPERLINK("http://www.examplebusiness.comwp-content/uploads/2015/08/abcFinancial-Types-Of-IRAs-Final.jpg","http://www.examplebusiness.comwp-content/uploads/2015/08/abcFinancial-Types-Of-IRAs-Final.jpg")</f>
        <v>http://www.examplebusiness.comwp-content/uploads/2015/08/abcFinancial-Types-Of-IRAs-Final.jpg</v>
      </c>
      <c r="B1286" s="34">
        <v>4</v>
      </c>
      <c r="C1286" s="34">
        <v>0</v>
      </c>
      <c r="D1286" s="34">
        <v>0</v>
      </c>
      <c r="E1286" s="34">
        <v>0</v>
      </c>
      <c r="F1286" s="34">
        <v>301</v>
      </c>
      <c r="G1286" s="34">
        <v>0</v>
      </c>
      <c r="H1286" s="34"/>
      <c r="I1286" s="34" t="s">
        <v>1561</v>
      </c>
      <c r="J1286" s="34" t="s">
        <v>1561</v>
      </c>
      <c r="K1286" s="107" t="s">
        <v>1561</v>
      </c>
      <c r="L1286" s="34" t="s">
        <v>1561</v>
      </c>
    </row>
    <row r="1287" spans="1:12" ht="16.5" x14ac:dyDescent="0.35">
      <c r="A1287" s="109" t="str">
        <f>HYPERLINK("http://www.examplebusiness.comresource-center/estate/put-it-in-a-letter","http://www.examplebusiness.comresource-center/estate/put-it-in-a-letter")</f>
        <v>http://www.examplebusiness.comresource-center/estate/put-it-in-a-letter</v>
      </c>
      <c r="B1287" s="34">
        <v>4</v>
      </c>
      <c r="C1287" s="34">
        <v>0</v>
      </c>
      <c r="D1287" s="34">
        <v>0</v>
      </c>
      <c r="E1287" s="34">
        <v>0</v>
      </c>
      <c r="F1287" s="34">
        <v>301</v>
      </c>
      <c r="G1287" s="34">
        <v>0</v>
      </c>
      <c r="H1287" s="34"/>
      <c r="I1287" s="34" t="s">
        <v>1561</v>
      </c>
      <c r="J1287" s="34" t="s">
        <v>1561</v>
      </c>
      <c r="K1287" s="107" t="s">
        <v>1561</v>
      </c>
      <c r="L1287" s="34" t="s">
        <v>1561</v>
      </c>
    </row>
    <row r="1288" spans="1:12" ht="16.5" x14ac:dyDescent="0.35">
      <c r="A1288" s="109" t="str">
        <f>HYPERLINK("http://www.examplebusiness.comresource-center/insurance/assess-life-insurance-needs","http://www.examplebusiness.comresource-center/insurance/assess-life-insurance-needs")</f>
        <v>http://www.examplebusiness.comresource-center/insurance/assess-life-insurance-needs</v>
      </c>
      <c r="B1288" s="34">
        <v>4</v>
      </c>
      <c r="C1288" s="34">
        <v>0</v>
      </c>
      <c r="D1288" s="34">
        <v>0</v>
      </c>
      <c r="E1288" s="34">
        <v>0</v>
      </c>
      <c r="F1288" s="34">
        <v>301</v>
      </c>
      <c r="G1288" s="34">
        <v>0</v>
      </c>
      <c r="H1288" s="34"/>
      <c r="I1288" s="34" t="s">
        <v>1561</v>
      </c>
      <c r="J1288" s="34" t="s">
        <v>1561</v>
      </c>
      <c r="K1288" s="107" t="s">
        <v>1561</v>
      </c>
      <c r="L1288" s="34" t="s">
        <v>1561</v>
      </c>
    </row>
    <row r="1289" spans="1:12" ht="16.5" x14ac:dyDescent="0.35">
      <c r="A1289" s="109" t="str">
        <f>HYPERLINK("http://www.examplebusiness.comresource-center/insurance/extended-care-a-patchwork-of-possibilities","http://www.examplebusiness.comresource-center/insurance/extended-care-a-patchwork-of-possibilities")</f>
        <v>http://www.examplebusiness.comresource-center/insurance/extended-care-a-patchwork-of-possibilities</v>
      </c>
      <c r="B1289" s="34">
        <v>4</v>
      </c>
      <c r="C1289" s="34">
        <v>0</v>
      </c>
      <c r="D1289" s="34">
        <v>0</v>
      </c>
      <c r="E1289" s="34">
        <v>0</v>
      </c>
      <c r="F1289" s="34">
        <v>301</v>
      </c>
      <c r="G1289" s="34">
        <v>0</v>
      </c>
      <c r="H1289" s="34"/>
      <c r="I1289" s="34" t="s">
        <v>1561</v>
      </c>
      <c r="J1289" s="34" t="s">
        <v>1561</v>
      </c>
      <c r="K1289" s="107" t="s">
        <v>1561</v>
      </c>
      <c r="L1289" s="34" t="s">
        <v>1561</v>
      </c>
    </row>
    <row r="1290" spans="1:12" ht="16.5" x14ac:dyDescent="0.35">
      <c r="A1290" s="109" t="str">
        <f>HYPERLINK("http://www.examplebusiness.comresource-center/insurance/planning-for-the-expected","http://www.examplebusiness.comresource-center/insurance/planning-for-the-expected")</f>
        <v>http://www.examplebusiness.comresource-center/insurance/planning-for-the-expected</v>
      </c>
      <c r="B1290" s="34">
        <v>4</v>
      </c>
      <c r="C1290" s="34">
        <v>0</v>
      </c>
      <c r="D1290" s="34">
        <v>0</v>
      </c>
      <c r="E1290" s="34">
        <v>0</v>
      </c>
      <c r="F1290" s="34">
        <v>301</v>
      </c>
      <c r="G1290" s="34">
        <v>0</v>
      </c>
      <c r="H1290" s="34"/>
      <c r="I1290" s="34" t="s">
        <v>1561</v>
      </c>
      <c r="J1290" s="34" t="s">
        <v>1561</v>
      </c>
      <c r="K1290" s="107" t="s">
        <v>1561</v>
      </c>
      <c r="L1290" s="34" t="s">
        <v>1561</v>
      </c>
    </row>
    <row r="1291" spans="1:12" ht="16.5" x14ac:dyDescent="0.35">
      <c r="A1291" s="109" t="str">
        <f>HYPERLINK("http://www.examplebusiness.comresource-center/insurance/protecting-your-business-from-the-loss-of-a-key-person","http://www.examplebusiness.comresource-center/insurance/protecting-your-business-from-the-loss-of-a-key-person")</f>
        <v>http://www.examplebusiness.comresource-center/insurance/protecting-your-business-from-the-loss-of-a-key-person</v>
      </c>
      <c r="B1291" s="34">
        <v>4</v>
      </c>
      <c r="C1291" s="34">
        <v>0</v>
      </c>
      <c r="D1291" s="34">
        <v>0</v>
      </c>
      <c r="E1291" s="34">
        <v>0</v>
      </c>
      <c r="F1291" s="34">
        <v>301</v>
      </c>
      <c r="G1291" s="34">
        <v>0</v>
      </c>
      <c r="H1291" s="34"/>
      <c r="I1291" s="34" t="s">
        <v>1561</v>
      </c>
      <c r="J1291" s="34" t="s">
        <v>1561</v>
      </c>
      <c r="K1291" s="107" t="s">
        <v>1561</v>
      </c>
      <c r="L1291" s="34" t="s">
        <v>1561</v>
      </c>
    </row>
    <row r="1292" spans="1:12" ht="16.5" x14ac:dyDescent="0.35">
      <c r="A1292" s="109" t="str">
        <f>HYPERLINK("http://www.examplebusiness.comresource-center/insurance/the-abcs-of-auto-insurance","http://www.examplebusiness.comresource-center/insurance/the-abcs-of-auto-insurance")</f>
        <v>http://www.examplebusiness.comresource-center/insurance/the-abcs-of-auto-insurance</v>
      </c>
      <c r="B1292" s="34">
        <v>4</v>
      </c>
      <c r="C1292" s="34">
        <v>0</v>
      </c>
      <c r="D1292" s="34">
        <v>0</v>
      </c>
      <c r="E1292" s="34">
        <v>0</v>
      </c>
      <c r="F1292" s="34">
        <v>301</v>
      </c>
      <c r="G1292" s="34">
        <v>0</v>
      </c>
      <c r="H1292" s="34"/>
      <c r="I1292" s="34" t="s">
        <v>1561</v>
      </c>
      <c r="J1292" s="34" t="s">
        <v>1561</v>
      </c>
      <c r="K1292" s="107" t="s">
        <v>1561</v>
      </c>
      <c r="L1292" s="34" t="s">
        <v>1561</v>
      </c>
    </row>
    <row r="1293" spans="1:12" ht="16.5" x14ac:dyDescent="0.35">
      <c r="A1293" s="109" t="str">
        <f>HYPERLINK("http://www.examplebusiness.comresource-center/insurance/the-other-sure-thing","http://www.examplebusiness.comresource-center/insurance/the-other-sure-thing")</f>
        <v>http://www.examplebusiness.comresource-center/insurance/the-other-sure-thing</v>
      </c>
      <c r="B1293" s="34">
        <v>4</v>
      </c>
      <c r="C1293" s="34">
        <v>0</v>
      </c>
      <c r="D1293" s="34">
        <v>0</v>
      </c>
      <c r="E1293" s="34">
        <v>0</v>
      </c>
      <c r="F1293" s="34">
        <v>301</v>
      </c>
      <c r="G1293" s="34">
        <v>0</v>
      </c>
      <c r="H1293" s="34"/>
      <c r="I1293" s="34" t="s">
        <v>1561</v>
      </c>
      <c r="J1293" s="34" t="s">
        <v>1561</v>
      </c>
      <c r="K1293" s="107" t="s">
        <v>1561</v>
      </c>
      <c r="L1293" s="34" t="s">
        <v>1561</v>
      </c>
    </row>
    <row r="1294" spans="1:12" ht="16.5" x14ac:dyDescent="0.35">
      <c r="A1294" s="109" t="str">
        <f>HYPERLINK("http://www.examplebusiness.comresource-center/investment/how-stocks-work","http://www.examplebusiness.comresource-center/investment/how-stocks-work")</f>
        <v>http://www.examplebusiness.comresource-center/investment/how-stocks-work</v>
      </c>
      <c r="B1294" s="34">
        <v>4</v>
      </c>
      <c r="C1294" s="34">
        <v>0</v>
      </c>
      <c r="D1294" s="34">
        <v>0</v>
      </c>
      <c r="E1294" s="34">
        <v>0</v>
      </c>
      <c r="F1294" s="34">
        <v>301</v>
      </c>
      <c r="G1294" s="34">
        <v>0</v>
      </c>
      <c r="H1294" s="34"/>
      <c r="I1294" s="34" t="s">
        <v>1561</v>
      </c>
      <c r="J1294" s="34" t="s">
        <v>1561</v>
      </c>
      <c r="K1294" s="107" t="s">
        <v>1561</v>
      </c>
      <c r="L1294" s="34" t="s">
        <v>1561</v>
      </c>
    </row>
    <row r="1295" spans="1:12" ht="16.5" x14ac:dyDescent="0.35">
      <c r="A1295" s="109" t="str">
        <f>HYPERLINK("http://www.examplebusiness.comresource-center/investment/investing-with-your-heart","http://www.examplebusiness.comresource-center/investment/investing-with-your-heart")</f>
        <v>http://www.examplebusiness.comresource-center/investment/investing-with-your-heart</v>
      </c>
      <c r="B1295" s="34">
        <v>4</v>
      </c>
      <c r="C1295" s="34">
        <v>0</v>
      </c>
      <c r="D1295" s="34">
        <v>0</v>
      </c>
      <c r="E1295" s="34">
        <v>0</v>
      </c>
      <c r="F1295" s="34">
        <v>301</v>
      </c>
      <c r="G1295" s="34">
        <v>0</v>
      </c>
      <c r="H1295" s="34"/>
      <c r="I1295" s="34" t="s">
        <v>1561</v>
      </c>
      <c r="J1295" s="34" t="s">
        <v>1561</v>
      </c>
      <c r="K1295" s="107" t="s">
        <v>1561</v>
      </c>
      <c r="L1295" s="34" t="s">
        <v>1561</v>
      </c>
    </row>
    <row r="1296" spans="1:12" ht="16.5" x14ac:dyDescent="0.35">
      <c r="A1296" s="109" t="str">
        <f>HYPERLINK("http://www.examplebusiness.comresource-center/investment/the-anatomy-of-an-index","http://www.examplebusiness.comresource-center/investment/the-anatomy-of-an-index")</f>
        <v>http://www.examplebusiness.comresource-center/investment/the-anatomy-of-an-index</v>
      </c>
      <c r="B1296" s="34">
        <v>4</v>
      </c>
      <c r="C1296" s="34">
        <v>0</v>
      </c>
      <c r="D1296" s="34">
        <v>0</v>
      </c>
      <c r="E1296" s="34">
        <v>0</v>
      </c>
      <c r="F1296" s="34">
        <v>301</v>
      </c>
      <c r="G1296" s="34">
        <v>0</v>
      </c>
      <c r="H1296" s="34"/>
      <c r="I1296" s="34" t="s">
        <v>1561</v>
      </c>
      <c r="J1296" s="34" t="s">
        <v>1561</v>
      </c>
      <c r="K1296" s="107" t="s">
        <v>1561</v>
      </c>
      <c r="L1296" s="34" t="s">
        <v>1561</v>
      </c>
    </row>
    <row r="1297" spans="1:12" ht="16.5" x14ac:dyDescent="0.35">
      <c r="A1297" s="109" t="str">
        <f>HYPERLINK("http://www.examplebusiness.comresource-center/investment/the-great-debate-continues-active-vs-passive","http://www.examplebusiness.comresource-center/investment/the-great-debate-continues-active-vs-passive")</f>
        <v>http://www.examplebusiness.comresource-center/investment/the-great-debate-continues-active-vs-passive</v>
      </c>
      <c r="B1297" s="34">
        <v>4</v>
      </c>
      <c r="C1297" s="34">
        <v>0</v>
      </c>
      <c r="D1297" s="34">
        <v>0</v>
      </c>
      <c r="E1297" s="34">
        <v>0</v>
      </c>
      <c r="F1297" s="34">
        <v>301</v>
      </c>
      <c r="G1297" s="34">
        <v>0</v>
      </c>
      <c r="H1297" s="34"/>
      <c r="I1297" s="34" t="s">
        <v>1561</v>
      </c>
      <c r="J1297" s="34" t="s">
        <v>1561</v>
      </c>
      <c r="K1297" s="107" t="s">
        <v>1561</v>
      </c>
      <c r="L1297" s="34" t="s">
        <v>1561</v>
      </c>
    </row>
    <row r="1298" spans="1:12" ht="16.5" x14ac:dyDescent="0.35">
      <c r="A1298" s="109" t="str">
        <f>HYPERLINK("http://www.examplebusiness.comresource-center/lifestyle/apps-that-help-achieve-goals","http://www.examplebusiness.comresource-center/lifestyle/apps-that-help-achieve-goals")</f>
        <v>http://www.examplebusiness.comresource-center/lifestyle/apps-that-help-achieve-goals</v>
      </c>
      <c r="B1298" s="34">
        <v>4</v>
      </c>
      <c r="C1298" s="34">
        <v>0</v>
      </c>
      <c r="D1298" s="34">
        <v>0</v>
      </c>
      <c r="E1298" s="34">
        <v>0</v>
      </c>
      <c r="F1298" s="34">
        <v>301</v>
      </c>
      <c r="G1298" s="34">
        <v>0</v>
      </c>
      <c r="H1298" s="34"/>
      <c r="I1298" s="34" t="s">
        <v>1561</v>
      </c>
      <c r="J1298" s="34" t="s">
        <v>1561</v>
      </c>
      <c r="K1298" s="107" t="s">
        <v>1561</v>
      </c>
      <c r="L1298" s="34" t="s">
        <v>1561</v>
      </c>
    </row>
    <row r="1299" spans="1:12" ht="16.5" x14ac:dyDescent="0.35">
      <c r="A1299" s="109" t="str">
        <f>HYPERLINK("http://www.examplebusiness.comresource-center/lifestyle/countdown-to-college","http://www.examplebusiness.comresource-center/lifestyle/countdown-to-college")</f>
        <v>http://www.examplebusiness.comresource-center/lifestyle/countdown-to-college</v>
      </c>
      <c r="B1299" s="34">
        <v>4</v>
      </c>
      <c r="C1299" s="34">
        <v>0</v>
      </c>
      <c r="D1299" s="34">
        <v>0</v>
      </c>
      <c r="E1299" s="34">
        <v>0</v>
      </c>
      <c r="F1299" s="34">
        <v>301</v>
      </c>
      <c r="G1299" s="34">
        <v>0</v>
      </c>
      <c r="H1299" s="34"/>
      <c r="I1299" s="34" t="s">
        <v>1561</v>
      </c>
      <c r="J1299" s="34" t="s">
        <v>1561</v>
      </c>
      <c r="K1299" s="107" t="s">
        <v>1561</v>
      </c>
      <c r="L1299" s="34" t="s">
        <v>1561</v>
      </c>
    </row>
    <row r="1300" spans="1:12" ht="16.5" x14ac:dyDescent="0.35">
      <c r="A1300" s="109" t="str">
        <f>HYPERLINK("http://www.examplebusiness.comresource-center/lifestyle/putting-a-price-tag-on-your-health","http://www.examplebusiness.comresource-center/lifestyle/putting-a-price-tag-on-your-health")</f>
        <v>http://www.examplebusiness.comresource-center/lifestyle/putting-a-price-tag-on-your-health</v>
      </c>
      <c r="B1300" s="34">
        <v>4</v>
      </c>
      <c r="C1300" s="34">
        <v>0</v>
      </c>
      <c r="D1300" s="34">
        <v>0</v>
      </c>
      <c r="E1300" s="34">
        <v>0</v>
      </c>
      <c r="F1300" s="34">
        <v>301</v>
      </c>
      <c r="G1300" s="34">
        <v>0</v>
      </c>
      <c r="H1300" s="34"/>
      <c r="I1300" s="34" t="s">
        <v>1561</v>
      </c>
      <c r="J1300" s="34" t="s">
        <v>1561</v>
      </c>
      <c r="K1300" s="107" t="s">
        <v>1561</v>
      </c>
      <c r="L1300" s="34" t="s">
        <v>1561</v>
      </c>
    </row>
    <row r="1301" spans="1:12" ht="16.5" x14ac:dyDescent="0.35">
      <c r="A1301" s="109" t="str">
        <f>HYPERLINK("http://www.examplebusiness.comresource-center/lifestyle/should-i-pay-off-debt-or-invest","http://www.examplebusiness.comresource-center/lifestyle/should-i-pay-off-debt-or-invest")</f>
        <v>http://www.examplebusiness.comresource-center/lifestyle/should-i-pay-off-debt-or-invest</v>
      </c>
      <c r="B1301" s="34">
        <v>4</v>
      </c>
      <c r="C1301" s="34">
        <v>0</v>
      </c>
      <c r="D1301" s="34">
        <v>0</v>
      </c>
      <c r="E1301" s="34">
        <v>0</v>
      </c>
      <c r="F1301" s="34">
        <v>301</v>
      </c>
      <c r="G1301" s="34">
        <v>0</v>
      </c>
      <c r="H1301" s="34"/>
      <c r="I1301" s="34" t="s">
        <v>1561</v>
      </c>
      <c r="J1301" s="34" t="s">
        <v>1561</v>
      </c>
      <c r="K1301" s="107" t="s">
        <v>1561</v>
      </c>
      <c r="L1301" s="34" t="s">
        <v>1561</v>
      </c>
    </row>
    <row r="1302" spans="1:12" ht="16.5" x14ac:dyDescent="0.35">
      <c r="A1302" s="109" t="str">
        <f>HYPERLINK("http://www.examplebusiness.comresource-center/lifestyle/what-to-do-when-you-lose-your-wallet","http://www.examplebusiness.comresource-center/lifestyle/what-to-do-when-you-lose-your-wallet")</f>
        <v>http://www.examplebusiness.comresource-center/lifestyle/what-to-do-when-you-lose-your-wallet</v>
      </c>
      <c r="B1302" s="34">
        <v>4</v>
      </c>
      <c r="C1302" s="34">
        <v>0</v>
      </c>
      <c r="D1302" s="34">
        <v>0</v>
      </c>
      <c r="E1302" s="34">
        <v>0</v>
      </c>
      <c r="F1302" s="34">
        <v>301</v>
      </c>
      <c r="G1302" s="34">
        <v>0</v>
      </c>
      <c r="H1302" s="34"/>
      <c r="I1302" s="34" t="s">
        <v>1561</v>
      </c>
      <c r="J1302" s="34" t="s">
        <v>1561</v>
      </c>
      <c r="K1302" s="107" t="s">
        <v>1561</v>
      </c>
      <c r="L1302" s="34" t="s">
        <v>1561</v>
      </c>
    </row>
    <row r="1303" spans="1:12" ht="16.5" x14ac:dyDescent="0.35">
      <c r="A1303" s="109" t="str">
        <f>HYPERLINK("http://www.examplebusiness.comresource-center/money/the-lowdown-on-those-free-credit-scores","http://www.examplebusiness.comresource-center/money/the-lowdown-on-those-free-credit-scores")</f>
        <v>http://www.examplebusiness.comresource-center/money/the-lowdown-on-those-free-credit-scores</v>
      </c>
      <c r="B1303" s="34">
        <v>4</v>
      </c>
      <c r="C1303" s="34">
        <v>0</v>
      </c>
      <c r="D1303" s="34">
        <v>0</v>
      </c>
      <c r="E1303" s="34">
        <v>0</v>
      </c>
      <c r="F1303" s="34">
        <v>301</v>
      </c>
      <c r="G1303" s="34">
        <v>0</v>
      </c>
      <c r="H1303" s="34"/>
      <c r="I1303" s="34" t="s">
        <v>1561</v>
      </c>
      <c r="J1303" s="34" t="s">
        <v>1561</v>
      </c>
      <c r="K1303" s="107" t="s">
        <v>1561</v>
      </c>
      <c r="L1303" s="34" t="s">
        <v>1561</v>
      </c>
    </row>
    <row r="1304" spans="1:12" ht="16.5" x14ac:dyDescent="0.35">
      <c r="A1304" s="109" t="str">
        <f>HYPERLINK("http://www.examplebusiness.comresource-center/money/what-to-look-for-in-personal-finance-apps","http://www.examplebusiness.comresource-center/money/what-to-look-for-in-personal-finance-apps")</f>
        <v>http://www.examplebusiness.comresource-center/money/what-to-look-for-in-personal-finance-apps</v>
      </c>
      <c r="B1304" s="34">
        <v>4</v>
      </c>
      <c r="C1304" s="34">
        <v>0</v>
      </c>
      <c r="D1304" s="34">
        <v>0</v>
      </c>
      <c r="E1304" s="34">
        <v>0</v>
      </c>
      <c r="F1304" s="34">
        <v>301</v>
      </c>
      <c r="G1304" s="34">
        <v>0</v>
      </c>
      <c r="H1304" s="34"/>
      <c r="I1304" s="34" t="s">
        <v>1561</v>
      </c>
      <c r="J1304" s="34" t="s">
        <v>1561</v>
      </c>
      <c r="K1304" s="107" t="s">
        <v>1561</v>
      </c>
      <c r="L1304" s="34" t="s">
        <v>1561</v>
      </c>
    </row>
    <row r="1305" spans="1:12" ht="16.5" x14ac:dyDescent="0.35">
      <c r="A1305" s="109" t="str">
        <f>HYPERLINK("http://www.examplebusiness.comresource-center/retirement/three-key-questions-to-answer-before-taking-social-security","http://www.examplebusiness.comresource-center/retirement/three-key-questions-to-answer-before-taking-social-security")</f>
        <v>http://www.examplebusiness.comresource-center/retirement/three-key-questions-to-answer-before-taking-social-security</v>
      </c>
      <c r="B1305" s="34">
        <v>4</v>
      </c>
      <c r="C1305" s="34">
        <v>0</v>
      </c>
      <c r="D1305" s="34">
        <v>0</v>
      </c>
      <c r="E1305" s="34">
        <v>0</v>
      </c>
      <c r="F1305" s="34">
        <v>301</v>
      </c>
      <c r="G1305" s="34">
        <v>0</v>
      </c>
      <c r="H1305" s="34"/>
      <c r="I1305" s="34" t="s">
        <v>1561</v>
      </c>
      <c r="J1305" s="34" t="s">
        <v>1561</v>
      </c>
      <c r="K1305" s="107" t="s">
        <v>1561</v>
      </c>
      <c r="L1305" s="34" t="s">
        <v>1561</v>
      </c>
    </row>
    <row r="1306" spans="1:12" ht="16.5" x14ac:dyDescent="0.35">
      <c r="A1306" s="109" t="str">
        <f>HYPERLINK("http://www.examplebusiness.comresource-center/tax/death-is-noexcuse","http://www.examplebusiness.comresource-center/tax/death-is-noexcuse")</f>
        <v>http://www.examplebusiness.comresource-center/tax/death-is-noexcuse</v>
      </c>
      <c r="B1306" s="34">
        <v>4</v>
      </c>
      <c r="C1306" s="34">
        <v>0</v>
      </c>
      <c r="D1306" s="34">
        <v>0</v>
      </c>
      <c r="E1306" s="34">
        <v>0</v>
      </c>
      <c r="F1306" s="34">
        <v>301</v>
      </c>
      <c r="G1306" s="34">
        <v>0</v>
      </c>
      <c r="H1306" s="34"/>
      <c r="I1306" s="34" t="s">
        <v>1561</v>
      </c>
      <c r="J1306" s="34" t="s">
        <v>1561</v>
      </c>
      <c r="K1306" s="107" t="s">
        <v>1561</v>
      </c>
      <c r="L1306" s="34" t="s">
        <v>1561</v>
      </c>
    </row>
    <row r="1307" spans="1:12" ht="16.5" x14ac:dyDescent="0.35">
      <c r="A1307" s="109" t="str">
        <f>HYPERLINK("http://www.examplebusiness.comblog/an-evening-of-painting-wine-and-fun","http://www.examplebusiness.comblog/an-evening-of-painting-wine-and-fun")</f>
        <v>http://www.examplebusiness.comblog/an-evening-of-painting-wine-and-fun</v>
      </c>
      <c r="B1307" s="34">
        <v>4</v>
      </c>
      <c r="C1307" s="34">
        <v>0</v>
      </c>
      <c r="D1307" s="34">
        <v>0</v>
      </c>
      <c r="E1307" s="34">
        <v>0</v>
      </c>
      <c r="F1307" s="34">
        <v>301</v>
      </c>
      <c r="G1307" s="34">
        <v>0</v>
      </c>
      <c r="H1307" s="34"/>
      <c r="I1307" s="34" t="s">
        <v>1561</v>
      </c>
      <c r="J1307" s="34" t="s">
        <v>1561</v>
      </c>
      <c r="K1307" s="107" t="s">
        <v>1561</v>
      </c>
      <c r="L1307" s="34" t="s">
        <v>1561</v>
      </c>
    </row>
    <row r="1308" spans="1:12" ht="16.5" x14ac:dyDescent="0.35">
      <c r="A1308" s="109" t="str">
        <f>HYPERLINK("http://www.examplebusiness.comblog/balancing-act-saving-for-both-retirement-and-college","http://www.examplebusiness.comblog/balancing-act-saving-for-both-retirement-and-college")</f>
        <v>http://www.examplebusiness.comblog/balancing-act-saving-for-both-retirement-and-college</v>
      </c>
      <c r="B1308" s="34">
        <v>4</v>
      </c>
      <c r="C1308" s="34">
        <v>0</v>
      </c>
      <c r="D1308" s="34">
        <v>0</v>
      </c>
      <c r="E1308" s="34">
        <v>0</v>
      </c>
      <c r="F1308" s="34">
        <v>301</v>
      </c>
      <c r="G1308" s="34">
        <v>0</v>
      </c>
      <c r="H1308" s="34"/>
      <c r="I1308" s="34" t="s">
        <v>1561</v>
      </c>
      <c r="J1308" s="34" t="s">
        <v>1561</v>
      </c>
      <c r="K1308" s="107" t="s">
        <v>1561</v>
      </c>
      <c r="L1308" s="34" t="s">
        <v>1561</v>
      </c>
    </row>
    <row r="1309" spans="1:12" ht="16.5" x14ac:dyDescent="0.35">
      <c r="A1309" s="109" t="str">
        <f>HYPERLINK("http://www.examplebusiness.comblog/deducing-the-culprits-behind-the-recent-market-volatility","http://www.examplebusiness.comblog/deducing-the-culprits-behind-the-recent-market-volatility")</f>
        <v>http://www.examplebusiness.comblog/deducing-the-culprits-behind-the-recent-market-volatility</v>
      </c>
      <c r="B1309" s="34">
        <v>4</v>
      </c>
      <c r="C1309" s="34">
        <v>0</v>
      </c>
      <c r="D1309" s="34">
        <v>0</v>
      </c>
      <c r="E1309" s="34">
        <v>0</v>
      </c>
      <c r="F1309" s="34">
        <v>301</v>
      </c>
      <c r="G1309" s="34">
        <v>0</v>
      </c>
      <c r="H1309" s="34"/>
      <c r="I1309" s="34" t="s">
        <v>1561</v>
      </c>
      <c r="J1309" s="34" t="s">
        <v>1561</v>
      </c>
      <c r="K1309" s="107" t="s">
        <v>1561</v>
      </c>
      <c r="L1309" s="34" t="s">
        <v>1561</v>
      </c>
    </row>
    <row r="1310" spans="1:12" ht="16.5" x14ac:dyDescent="0.35">
      <c r="A1310" s="109" t="str">
        <f>HYPERLINK("http://www.examplebusiness.comblog/market-recap-of-the-first-quarter-of-2018","http://www.examplebusiness.comblog/market-recap-of-the-first-quarter-of-2018")</f>
        <v>http://www.examplebusiness.comblog/market-recap-of-the-first-quarter-of-2018</v>
      </c>
      <c r="B1310" s="34">
        <v>4</v>
      </c>
      <c r="C1310" s="34">
        <v>0</v>
      </c>
      <c r="D1310" s="34">
        <v>0</v>
      </c>
      <c r="E1310" s="34">
        <v>0</v>
      </c>
      <c r="F1310" s="34">
        <v>301</v>
      </c>
      <c r="G1310" s="34">
        <v>0</v>
      </c>
      <c r="H1310" s="34"/>
      <c r="I1310" s="34" t="s">
        <v>1561</v>
      </c>
      <c r="J1310" s="34" t="s">
        <v>1561</v>
      </c>
      <c r="K1310" s="107" t="s">
        <v>1561</v>
      </c>
      <c r="L1310" s="34" t="s">
        <v>1561</v>
      </c>
    </row>
    <row r="1311" spans="1:12" ht="16.5" x14ac:dyDescent="0.35">
      <c r="A1311" s="109" t="str">
        <f>HYPERLINK("http://www.examplebusiness.comblog/what-president-trumps-tariff-means-for-you","http://www.examplebusiness.comblog/what-president-trumps-tariff-means-for-you")</f>
        <v>http://www.examplebusiness.comblog/what-president-trumps-tariff-means-for-you</v>
      </c>
      <c r="B1311" s="34">
        <v>4</v>
      </c>
      <c r="C1311" s="34">
        <v>0</v>
      </c>
      <c r="D1311" s="34">
        <v>0</v>
      </c>
      <c r="E1311" s="34">
        <v>0</v>
      </c>
      <c r="F1311" s="34">
        <v>301</v>
      </c>
      <c r="G1311" s="34">
        <v>0</v>
      </c>
      <c r="H1311" s="34"/>
      <c r="I1311" s="34" t="s">
        <v>1561</v>
      </c>
      <c r="J1311" s="34" t="s">
        <v>1561</v>
      </c>
      <c r="K1311" s="107" t="s">
        <v>1561</v>
      </c>
      <c r="L1311" s="34" t="s">
        <v>1561</v>
      </c>
    </row>
    <row r="1312" spans="1:12" ht="16.5" x14ac:dyDescent="0.35">
      <c r="A1312" s="109" t="str">
        <f>HYPERLINK("http://www.examplebusiness.comresource-center/estate/four-reasons-millenials-need-an-estate-strategy","http://www.examplebusiness.comresource-center/estate/four-reasons-millenials-need-an-estate-strategy")</f>
        <v>http://www.examplebusiness.comresource-center/estate/four-reasons-millenials-need-an-estate-strategy</v>
      </c>
      <c r="B1312" s="34">
        <v>4</v>
      </c>
      <c r="C1312" s="34">
        <v>0</v>
      </c>
      <c r="D1312" s="34">
        <v>0</v>
      </c>
      <c r="E1312" s="34">
        <v>0</v>
      </c>
      <c r="F1312" s="34">
        <v>301</v>
      </c>
      <c r="G1312" s="34">
        <v>0</v>
      </c>
      <c r="H1312" s="34"/>
      <c r="I1312" s="34" t="s">
        <v>1561</v>
      </c>
      <c r="J1312" s="34" t="s">
        <v>1561</v>
      </c>
      <c r="K1312" s="107" t="s">
        <v>1561</v>
      </c>
      <c r="L1312" s="34" t="s">
        <v>1561</v>
      </c>
    </row>
    <row r="1313" spans="1:12" ht="16.5" x14ac:dyDescent="0.35">
      <c r="A1313" s="109" t="str">
        <f>HYPERLINK("http://www.examplebusiness.comresource-center/estate/safeguard-your-digital-estate","http://www.examplebusiness.comresource-center/estate/safeguard-your-digital-estate")</f>
        <v>http://www.examplebusiness.comresource-center/estate/safeguard-your-digital-estate</v>
      </c>
      <c r="B1313" s="34">
        <v>4</v>
      </c>
      <c r="C1313" s="34">
        <v>0</v>
      </c>
      <c r="D1313" s="34">
        <v>0</v>
      </c>
      <c r="E1313" s="34">
        <v>0</v>
      </c>
      <c r="F1313" s="34">
        <v>301</v>
      </c>
      <c r="G1313" s="34">
        <v>0</v>
      </c>
      <c r="H1313" s="34"/>
      <c r="I1313" s="34" t="s">
        <v>1561</v>
      </c>
      <c r="J1313" s="34" t="s">
        <v>1561</v>
      </c>
      <c r="K1313" s="107" t="s">
        <v>1561</v>
      </c>
      <c r="L1313" s="34" t="s">
        <v>1561</v>
      </c>
    </row>
    <row r="1314" spans="1:12" ht="16.5" x14ac:dyDescent="0.35">
      <c r="A1314" s="109" t="str">
        <f>HYPERLINK("http://www.examplebusiness.comresource-center/estate/whats-my-potential-estate-tax","http://www.examplebusiness.comresource-center/estate/whats-my-potential-estate-tax")</f>
        <v>http://www.examplebusiness.comresource-center/estate/whats-my-potential-estate-tax</v>
      </c>
      <c r="B1314" s="34">
        <v>4</v>
      </c>
      <c r="C1314" s="34">
        <v>0</v>
      </c>
      <c r="D1314" s="34">
        <v>0</v>
      </c>
      <c r="E1314" s="34">
        <v>0</v>
      </c>
      <c r="F1314" s="34">
        <v>301</v>
      </c>
      <c r="G1314" s="34">
        <v>0</v>
      </c>
      <c r="H1314" s="34"/>
      <c r="I1314" s="34" t="s">
        <v>1561</v>
      </c>
      <c r="J1314" s="34" t="s">
        <v>1561</v>
      </c>
      <c r="K1314" s="107" t="s">
        <v>1561</v>
      </c>
      <c r="L1314" s="34" t="s">
        <v>1561</v>
      </c>
    </row>
    <row r="1315" spans="1:12" ht="16.5" x14ac:dyDescent="0.35">
      <c r="A1315" s="109" t="str">
        <f>HYPERLINK("http://www.examplebusiness.comresource-center/estate/when-do-you-need-a-will","http://www.examplebusiness.comresource-center/estate/when-do-you-need-a-will")</f>
        <v>http://www.examplebusiness.comresource-center/estate/when-do-you-need-a-will</v>
      </c>
      <c r="B1315" s="34">
        <v>4</v>
      </c>
      <c r="C1315" s="34">
        <v>0</v>
      </c>
      <c r="D1315" s="34">
        <v>0</v>
      </c>
      <c r="E1315" s="34">
        <v>0</v>
      </c>
      <c r="F1315" s="34">
        <v>301</v>
      </c>
      <c r="G1315" s="34">
        <v>0</v>
      </c>
      <c r="H1315" s="34"/>
      <c r="I1315" s="34" t="s">
        <v>1561</v>
      </c>
      <c r="J1315" s="34" t="s">
        <v>1561</v>
      </c>
      <c r="K1315" s="107" t="s">
        <v>1561</v>
      </c>
      <c r="L1315" s="34" t="s">
        <v>1561</v>
      </c>
    </row>
    <row r="1316" spans="1:12" ht="16.5" x14ac:dyDescent="0.35">
      <c r="A1316" s="109" t="str">
        <f>HYPERLINK("http://www.examplebusiness.comresource-center/insurance/a-home-insurance-claim-to-file-or-not-to-file","http://www.examplebusiness.comresource-center/insurance/a-home-insurance-claim-to-file-or-not-to-file")</f>
        <v>http://www.examplebusiness.comresource-center/insurance/a-home-insurance-claim-to-file-or-not-to-file</v>
      </c>
      <c r="B1316" s="34">
        <v>4</v>
      </c>
      <c r="C1316" s="34">
        <v>0</v>
      </c>
      <c r="D1316" s="34">
        <v>0</v>
      </c>
      <c r="E1316" s="34">
        <v>0</v>
      </c>
      <c r="F1316" s="34">
        <v>301</v>
      </c>
      <c r="G1316" s="34">
        <v>0</v>
      </c>
      <c r="H1316" s="34"/>
      <c r="I1316" s="34" t="s">
        <v>1561</v>
      </c>
      <c r="J1316" s="34" t="s">
        <v>1561</v>
      </c>
      <c r="K1316" s="107" t="s">
        <v>1561</v>
      </c>
      <c r="L1316" s="34" t="s">
        <v>1561</v>
      </c>
    </row>
    <row r="1317" spans="1:12" ht="16.5" x14ac:dyDescent="0.35">
      <c r="A1317" s="109" t="str">
        <f>HYPERLINK("http://www.examplebusiness.comresource-center/insurance/buying-auto-insurance-for-teen-drivers","http://www.examplebusiness.comresource-center/insurance/buying-auto-insurance-for-teen-drivers")</f>
        <v>http://www.examplebusiness.comresource-center/insurance/buying-auto-insurance-for-teen-drivers</v>
      </c>
      <c r="B1317" s="34">
        <v>4</v>
      </c>
      <c r="C1317" s="34">
        <v>0</v>
      </c>
      <c r="D1317" s="34">
        <v>0</v>
      </c>
      <c r="E1317" s="34">
        <v>0</v>
      </c>
      <c r="F1317" s="34">
        <v>301</v>
      </c>
      <c r="G1317" s="34">
        <v>0</v>
      </c>
      <c r="H1317" s="34"/>
      <c r="I1317" s="34" t="s">
        <v>1561</v>
      </c>
      <c r="J1317" s="34" t="s">
        <v>1561</v>
      </c>
      <c r="K1317" s="107" t="s">
        <v>1561</v>
      </c>
      <c r="L1317" s="34" t="s">
        <v>1561</v>
      </c>
    </row>
    <row r="1318" spans="1:12" ht="16.5" x14ac:dyDescent="0.35">
      <c r="A1318" s="109" t="str">
        <f>HYPERLINK("http://www.examplebusiness.comresource-center/insurance/how-insurance-deductibles-work-1","http://www.examplebusiness.comresource-center/insurance/how-insurance-deductibles-work-1")</f>
        <v>http://www.examplebusiness.comresource-center/insurance/how-insurance-deductibles-work-1</v>
      </c>
      <c r="B1318" s="34">
        <v>4</v>
      </c>
      <c r="C1318" s="34">
        <v>0</v>
      </c>
      <c r="D1318" s="34">
        <v>0</v>
      </c>
      <c r="E1318" s="34">
        <v>0</v>
      </c>
      <c r="F1318" s="34">
        <v>301</v>
      </c>
      <c r="G1318" s="34">
        <v>0</v>
      </c>
      <c r="H1318" s="34"/>
      <c r="I1318" s="34" t="s">
        <v>1561</v>
      </c>
      <c r="J1318" s="34" t="s">
        <v>1561</v>
      </c>
      <c r="K1318" s="107" t="s">
        <v>1561</v>
      </c>
      <c r="L1318" s="34" t="s">
        <v>1561</v>
      </c>
    </row>
    <row r="1319" spans="1:12" ht="16.5" x14ac:dyDescent="0.35">
      <c r="A1319" s="109" t="str">
        <f>HYPERLINK("http://www.examplebusiness.comresource-center/insurance/insurance-needs-assessment-for-empty-nesters-and-retirees","http://www.examplebusiness.comresource-center/insurance/insurance-needs-assessment-for-empty-nesters-and-retirees")</f>
        <v>http://www.examplebusiness.comresource-center/insurance/insurance-needs-assessment-for-empty-nesters-and-retirees</v>
      </c>
      <c r="B1319" s="34">
        <v>4</v>
      </c>
      <c r="C1319" s="34">
        <v>0</v>
      </c>
      <c r="D1319" s="34">
        <v>0</v>
      </c>
      <c r="E1319" s="34">
        <v>0</v>
      </c>
      <c r="F1319" s="34">
        <v>301</v>
      </c>
      <c r="G1319" s="34">
        <v>0</v>
      </c>
      <c r="H1319" s="34"/>
      <c r="I1319" s="34" t="s">
        <v>1561</v>
      </c>
      <c r="J1319" s="34" t="s">
        <v>1561</v>
      </c>
      <c r="K1319" s="107" t="s">
        <v>1561</v>
      </c>
      <c r="L1319" s="34" t="s">
        <v>1561</v>
      </c>
    </row>
    <row r="1320" spans="1:12" ht="16.5" x14ac:dyDescent="0.35">
      <c r="A1320" s="109" t="str">
        <f>HYPERLINK("http://www.examplebusiness.comresource-center/insurance/insurance-needs-assessment-when-youre-young-and-single","http://www.examplebusiness.comresource-center/insurance/insurance-needs-assessment-when-youre-young-and-single")</f>
        <v>http://www.examplebusiness.comresource-center/insurance/insurance-needs-assessment-when-youre-young-and-single</v>
      </c>
      <c r="B1320" s="34">
        <v>4</v>
      </c>
      <c r="C1320" s="34">
        <v>0</v>
      </c>
      <c r="D1320" s="34">
        <v>0</v>
      </c>
      <c r="E1320" s="34">
        <v>0</v>
      </c>
      <c r="F1320" s="34">
        <v>301</v>
      </c>
      <c r="G1320" s="34">
        <v>0</v>
      </c>
      <c r="H1320" s="34"/>
      <c r="I1320" s="34" t="s">
        <v>1561</v>
      </c>
      <c r="J1320" s="34" t="s">
        <v>1561</v>
      </c>
      <c r="K1320" s="107" t="s">
        <v>1561</v>
      </c>
      <c r="L1320" s="34" t="s">
        <v>1561</v>
      </c>
    </row>
    <row r="1321" spans="1:12" ht="16.5" x14ac:dyDescent="0.35">
      <c r="A1321" s="109" t="str">
        <f>HYPERLINK("http://www.examplebusiness.comresource-center/insurance/the-value-of-insuring-against-lifes-risks","http://www.examplebusiness.comresource-center/insurance/the-value-of-insuring-against-lifes-risks")</f>
        <v>http://www.examplebusiness.comresource-center/insurance/the-value-of-insuring-against-lifes-risks</v>
      </c>
      <c r="B1321" s="34">
        <v>4</v>
      </c>
      <c r="C1321" s="34">
        <v>0</v>
      </c>
      <c r="D1321" s="34">
        <v>0</v>
      </c>
      <c r="E1321" s="34">
        <v>0</v>
      </c>
      <c r="F1321" s="34">
        <v>301</v>
      </c>
      <c r="G1321" s="34">
        <v>0</v>
      </c>
      <c r="H1321" s="34"/>
      <c r="I1321" s="34" t="s">
        <v>1561</v>
      </c>
      <c r="J1321" s="34" t="s">
        <v>1561</v>
      </c>
      <c r="K1321" s="107" t="s">
        <v>1561</v>
      </c>
      <c r="L1321" s="34" t="s">
        <v>1561</v>
      </c>
    </row>
    <row r="1322" spans="1:12" ht="16.5" x14ac:dyDescent="0.35">
      <c r="A1322" s="109" t="str">
        <f>HYPERLINK("http://www.examplebusiness.comresource-center/investment/business-cycle","http://www.examplebusiness.comresource-center/investment/business-cycle")</f>
        <v>http://www.examplebusiness.comresource-center/investment/business-cycle</v>
      </c>
      <c r="B1322" s="34">
        <v>4</v>
      </c>
      <c r="C1322" s="34">
        <v>0</v>
      </c>
      <c r="D1322" s="34">
        <v>0</v>
      </c>
      <c r="E1322" s="34">
        <v>0</v>
      </c>
      <c r="F1322" s="34">
        <v>301</v>
      </c>
      <c r="G1322" s="34">
        <v>0</v>
      </c>
      <c r="H1322" s="34"/>
      <c r="I1322" s="34" t="s">
        <v>1561</v>
      </c>
      <c r="J1322" s="34" t="s">
        <v>1561</v>
      </c>
      <c r="K1322" s="107" t="s">
        <v>1561</v>
      </c>
      <c r="L1322" s="34" t="s">
        <v>1561</v>
      </c>
    </row>
    <row r="1323" spans="1:12" ht="16.5" x14ac:dyDescent="0.35">
      <c r="A1323" s="109" t="str">
        <f>HYPERLINK("http://www.examplebusiness.comresource-center/investment/how-financial-advisors-are-compensated","http://www.examplebusiness.comresource-center/investment/how-financial-advisors-are-compensated")</f>
        <v>http://www.examplebusiness.comresource-center/investment/how-financial-advisors-are-compensated</v>
      </c>
      <c r="B1323" s="34">
        <v>4</v>
      </c>
      <c r="C1323" s="34">
        <v>0</v>
      </c>
      <c r="D1323" s="34">
        <v>0</v>
      </c>
      <c r="E1323" s="34">
        <v>0</v>
      </c>
      <c r="F1323" s="34">
        <v>301</v>
      </c>
      <c r="G1323" s="34">
        <v>0</v>
      </c>
      <c r="H1323" s="34"/>
      <c r="I1323" s="34" t="s">
        <v>1561</v>
      </c>
      <c r="J1323" s="34" t="s">
        <v>1561</v>
      </c>
      <c r="K1323" s="107" t="s">
        <v>1561</v>
      </c>
      <c r="L1323" s="34" t="s">
        <v>1561</v>
      </c>
    </row>
    <row r="1324" spans="1:12" ht="16.5" x14ac:dyDescent="0.35">
      <c r="A1324" s="109" t="str">
        <f>HYPERLINK("http://www.examplebusiness.comresource-center/investment/investment-risk-no-ones-heard-of","http://www.examplebusiness.comresource-center/investment/investment-risk-no-ones-heard-of")</f>
        <v>http://www.examplebusiness.comresource-center/investment/investment-risk-no-ones-heard-of</v>
      </c>
      <c r="B1324" s="34">
        <v>4</v>
      </c>
      <c r="C1324" s="34">
        <v>0</v>
      </c>
      <c r="D1324" s="34">
        <v>0</v>
      </c>
      <c r="E1324" s="34">
        <v>0</v>
      </c>
      <c r="F1324" s="34">
        <v>301</v>
      </c>
      <c r="G1324" s="34">
        <v>0</v>
      </c>
      <c r="H1324" s="34"/>
      <c r="I1324" s="34" t="s">
        <v>1561</v>
      </c>
      <c r="J1324" s="34" t="s">
        <v>1561</v>
      </c>
      <c r="K1324" s="107" t="s">
        <v>1561</v>
      </c>
      <c r="L1324" s="34" t="s">
        <v>1561</v>
      </c>
    </row>
    <row r="1325" spans="1:12" ht="16.5" x14ac:dyDescent="0.35">
      <c r="A1325" s="109" t="str">
        <f>HYPERLINK("http://www.examplebusiness.comresource-center/investment/taxable-vs-tax-deferred-savings","http://www.examplebusiness.comresource-center/investment/taxable-vs-tax-deferred-savings")</f>
        <v>http://www.examplebusiness.comresource-center/investment/taxable-vs-tax-deferred-savings</v>
      </c>
      <c r="B1325" s="34">
        <v>4</v>
      </c>
      <c r="C1325" s="34">
        <v>0</v>
      </c>
      <c r="D1325" s="34">
        <v>0</v>
      </c>
      <c r="E1325" s="34">
        <v>0</v>
      </c>
      <c r="F1325" s="34">
        <v>301</v>
      </c>
      <c r="G1325" s="34">
        <v>0</v>
      </c>
      <c r="H1325" s="34"/>
      <c r="I1325" s="34" t="s">
        <v>1561</v>
      </c>
      <c r="J1325" s="34" t="s">
        <v>1561</v>
      </c>
      <c r="K1325" s="107" t="s">
        <v>1561</v>
      </c>
      <c r="L1325" s="34" t="s">
        <v>1561</v>
      </c>
    </row>
    <row r="1326" spans="1:12" ht="16.5" x14ac:dyDescent="0.35">
      <c r="A1326" s="109" t="str">
        <f>HYPERLINK("http://www.examplebusiness.comresource-center/investment/the-business-cycle","http://www.examplebusiness.comresource-center/investment/the-business-cycle")</f>
        <v>http://www.examplebusiness.comresource-center/investment/the-business-cycle</v>
      </c>
      <c r="B1326" s="34">
        <v>4</v>
      </c>
      <c r="C1326" s="34">
        <v>0</v>
      </c>
      <c r="D1326" s="34">
        <v>0</v>
      </c>
      <c r="E1326" s="34">
        <v>0</v>
      </c>
      <c r="F1326" s="34">
        <v>301</v>
      </c>
      <c r="G1326" s="34">
        <v>0</v>
      </c>
      <c r="H1326" s="34"/>
      <c r="I1326" s="34" t="s">
        <v>1561</v>
      </c>
      <c r="J1326" s="34" t="s">
        <v>1561</v>
      </c>
      <c r="K1326" s="107" t="s">
        <v>1561</v>
      </c>
      <c r="L1326" s="34" t="s">
        <v>1561</v>
      </c>
    </row>
    <row r="1327" spans="1:12" ht="16.5" x14ac:dyDescent="0.35">
      <c r="A1327" s="109" t="str">
        <f>HYPERLINK("http://www.examplebusiness.comresource-center/investment/the-fed-and-how-it-got-that-way","http://www.examplebusiness.comresource-center/investment/the-fed-and-how-it-got-that-way")</f>
        <v>http://www.examplebusiness.comresource-center/investment/the-fed-and-how-it-got-that-way</v>
      </c>
      <c r="B1327" s="34">
        <v>4</v>
      </c>
      <c r="C1327" s="34">
        <v>0</v>
      </c>
      <c r="D1327" s="34">
        <v>0</v>
      </c>
      <c r="E1327" s="34">
        <v>0</v>
      </c>
      <c r="F1327" s="34">
        <v>301</v>
      </c>
      <c r="G1327" s="34">
        <v>0</v>
      </c>
      <c r="H1327" s="34"/>
      <c r="I1327" s="34" t="s">
        <v>1561</v>
      </c>
      <c r="J1327" s="34" t="s">
        <v>1561</v>
      </c>
      <c r="K1327" s="107" t="s">
        <v>1561</v>
      </c>
      <c r="L1327" s="34" t="s">
        <v>1561</v>
      </c>
    </row>
    <row r="1328" spans="1:12" ht="16.5" x14ac:dyDescent="0.35">
      <c r="A1328" s="109" t="str">
        <f>HYPERLINK("http://www.examplebusiness.comresource-center/lifestyle/a-house-divided","http://www.examplebusiness.comresource-center/lifestyle/a-house-divided")</f>
        <v>http://www.examplebusiness.comresource-center/lifestyle/a-house-divided</v>
      </c>
      <c r="B1328" s="34">
        <v>4</v>
      </c>
      <c r="C1328" s="34">
        <v>0</v>
      </c>
      <c r="D1328" s="34">
        <v>0</v>
      </c>
      <c r="E1328" s="34">
        <v>0</v>
      </c>
      <c r="F1328" s="34">
        <v>301</v>
      </c>
      <c r="G1328" s="34">
        <v>0</v>
      </c>
      <c r="H1328" s="34"/>
      <c r="I1328" s="34" t="s">
        <v>1561</v>
      </c>
      <c r="J1328" s="34" t="s">
        <v>1561</v>
      </c>
      <c r="K1328" s="107" t="s">
        <v>1561</v>
      </c>
      <c r="L1328" s="34" t="s">
        <v>1561</v>
      </c>
    </row>
    <row r="1329" spans="1:12" ht="16.5" x14ac:dyDescent="0.35">
      <c r="A1329" s="109" t="str">
        <f>HYPERLINK("http://www.examplebusiness.comresource-center/lifestyle/interested-in-a-fuel-efficient-car","http://www.examplebusiness.comresource-center/lifestyle/interested-in-a-fuel-efficient-car")</f>
        <v>http://www.examplebusiness.comresource-center/lifestyle/interested-in-a-fuel-efficient-car</v>
      </c>
      <c r="B1329" s="34">
        <v>4</v>
      </c>
      <c r="C1329" s="34">
        <v>0</v>
      </c>
      <c r="D1329" s="34">
        <v>0</v>
      </c>
      <c r="E1329" s="34">
        <v>0</v>
      </c>
      <c r="F1329" s="34">
        <v>301</v>
      </c>
      <c r="G1329" s="34">
        <v>0</v>
      </c>
      <c r="H1329" s="34"/>
      <c r="I1329" s="34" t="s">
        <v>1561</v>
      </c>
      <c r="J1329" s="34" t="s">
        <v>1561</v>
      </c>
      <c r="K1329" s="107" t="s">
        <v>1561</v>
      </c>
      <c r="L1329" s="34" t="s">
        <v>1561</v>
      </c>
    </row>
    <row r="1330" spans="1:12" ht="16.5" x14ac:dyDescent="0.35">
      <c r="A1330" s="109" t="str">
        <f>HYPERLINK("http://www.examplebusiness.comresource-center/lifestyle/personal-finance-tips-for-military-families","http://www.examplebusiness.comresource-center/lifestyle/personal-finance-tips-for-military-families")</f>
        <v>http://www.examplebusiness.comresource-center/lifestyle/personal-finance-tips-for-military-families</v>
      </c>
      <c r="B1330" s="34">
        <v>4</v>
      </c>
      <c r="C1330" s="34">
        <v>0</v>
      </c>
      <c r="D1330" s="34">
        <v>0</v>
      </c>
      <c r="E1330" s="34">
        <v>0</v>
      </c>
      <c r="F1330" s="34">
        <v>301</v>
      </c>
      <c r="G1330" s="34">
        <v>0</v>
      </c>
      <c r="H1330" s="34"/>
      <c r="I1330" s="34" t="s">
        <v>1561</v>
      </c>
      <c r="J1330" s="34" t="s">
        <v>1561</v>
      </c>
      <c r="K1330" s="107" t="s">
        <v>1561</v>
      </c>
      <c r="L1330" s="34" t="s">
        <v>1561</v>
      </c>
    </row>
    <row r="1331" spans="1:12" ht="16.5" x14ac:dyDescent="0.35">
      <c r="A1331" s="109" t="str">
        <f>HYPERLINK("http://www.examplebusiness.comresource-center/money/u-s-personal-savings-rate","http://www.examplebusiness.comresource-center/money/u-s-personal-savings-rate")</f>
        <v>http://www.examplebusiness.comresource-center/money/u-s-personal-savings-rate</v>
      </c>
      <c r="B1331" s="34">
        <v>4</v>
      </c>
      <c r="C1331" s="34">
        <v>0</v>
      </c>
      <c r="D1331" s="34">
        <v>0</v>
      </c>
      <c r="E1331" s="34">
        <v>0</v>
      </c>
      <c r="F1331" s="34">
        <v>301</v>
      </c>
      <c r="G1331" s="34">
        <v>0</v>
      </c>
      <c r="H1331" s="34"/>
      <c r="I1331" s="34" t="s">
        <v>1561</v>
      </c>
      <c r="J1331" s="34" t="s">
        <v>1561</v>
      </c>
      <c r="K1331" s="107" t="s">
        <v>1561</v>
      </c>
      <c r="L1331" s="34" t="s">
        <v>1561</v>
      </c>
    </row>
    <row r="1332" spans="1:12" ht="16.5" x14ac:dyDescent="0.35">
      <c r="A1332" s="109" t="str">
        <f>HYPERLINK("http://www.examplebusiness.comresource-center/retirement/401k-choices-at-a-former-employer","http://www.examplebusiness.comresource-center/retirement/401k-choices-at-a-former-employer")</f>
        <v>http://www.examplebusiness.comresource-center/retirement/401k-choices-at-a-former-employer</v>
      </c>
      <c r="B1332" s="34">
        <v>4</v>
      </c>
      <c r="C1332" s="34">
        <v>0</v>
      </c>
      <c r="D1332" s="34">
        <v>0</v>
      </c>
      <c r="E1332" s="34">
        <v>0</v>
      </c>
      <c r="F1332" s="34">
        <v>301</v>
      </c>
      <c r="G1332" s="34">
        <v>0</v>
      </c>
      <c r="H1332" s="34"/>
      <c r="I1332" s="34" t="s">
        <v>1561</v>
      </c>
      <c r="J1332" s="34" t="s">
        <v>1561</v>
      </c>
      <c r="K1332" s="107" t="s">
        <v>1561</v>
      </c>
      <c r="L1332" s="34" t="s">
        <v>1561</v>
      </c>
    </row>
    <row r="1333" spans="1:12" ht="16.5" x14ac:dyDescent="0.35">
      <c r="A1333" s="109" t="str">
        <f>HYPERLINK("http://www.examplebusiness.comresource-center/retirement/a-fruitful-retirement-social-security-benefit","http://www.examplebusiness.comresource-center/retirement/a-fruitful-retirement-social-security-benefit")</f>
        <v>http://www.examplebusiness.comresource-center/retirement/a-fruitful-retirement-social-security-benefit</v>
      </c>
      <c r="B1333" s="34">
        <v>4</v>
      </c>
      <c r="C1333" s="34">
        <v>0</v>
      </c>
      <c r="D1333" s="34">
        <v>0</v>
      </c>
      <c r="E1333" s="34">
        <v>0</v>
      </c>
      <c r="F1333" s="34">
        <v>301</v>
      </c>
      <c r="G1333" s="34">
        <v>0</v>
      </c>
      <c r="H1333" s="34"/>
      <c r="I1333" s="34" t="s">
        <v>1561</v>
      </c>
      <c r="J1333" s="34" t="s">
        <v>1561</v>
      </c>
      <c r="K1333" s="107" t="s">
        <v>1561</v>
      </c>
      <c r="L1333" s="34" t="s">
        <v>1561</v>
      </c>
    </row>
    <row r="1334" spans="1:12" ht="16.5" x14ac:dyDescent="0.35">
      <c r="A1334" s="109" t="str">
        <f>HYPERLINK("http://www.examplebusiness.comresource-center/retirement/caring-for-aging-parents","http://www.examplebusiness.comresource-center/retirement/caring-for-aging-parents")</f>
        <v>http://www.examplebusiness.comresource-center/retirement/caring-for-aging-parents</v>
      </c>
      <c r="B1334" s="34">
        <v>4</v>
      </c>
      <c r="C1334" s="34">
        <v>0</v>
      </c>
      <c r="D1334" s="34">
        <v>0</v>
      </c>
      <c r="E1334" s="34">
        <v>0</v>
      </c>
      <c r="F1334" s="34">
        <v>301</v>
      </c>
      <c r="G1334" s="34">
        <v>0</v>
      </c>
      <c r="H1334" s="34"/>
      <c r="I1334" s="34" t="s">
        <v>1561</v>
      </c>
      <c r="J1334" s="34" t="s">
        <v>1561</v>
      </c>
      <c r="K1334" s="107" t="s">
        <v>1561</v>
      </c>
      <c r="L1334" s="34" t="s">
        <v>1561</v>
      </c>
    </row>
    <row r="1335" spans="1:12" ht="16.5" x14ac:dyDescent="0.35">
      <c r="A1335" s="109" t="str">
        <f>HYPERLINK("http://www.examplebusiness.comresource-center/retirement/certain-uncertainties-in-retirement","http://www.examplebusiness.comresource-center/retirement/certain-uncertainties-in-retirement")</f>
        <v>http://www.examplebusiness.comresource-center/retirement/certain-uncertainties-in-retirement</v>
      </c>
      <c r="B1335" s="34">
        <v>4</v>
      </c>
      <c r="C1335" s="34">
        <v>0</v>
      </c>
      <c r="D1335" s="34">
        <v>0</v>
      </c>
      <c r="E1335" s="34">
        <v>0</v>
      </c>
      <c r="F1335" s="34">
        <v>301</v>
      </c>
      <c r="G1335" s="34">
        <v>0</v>
      </c>
      <c r="H1335" s="34"/>
      <c r="I1335" s="34" t="s">
        <v>1561</v>
      </c>
      <c r="J1335" s="34" t="s">
        <v>1561</v>
      </c>
      <c r="K1335" s="107" t="s">
        <v>1561</v>
      </c>
      <c r="L1335" s="34" t="s">
        <v>1561</v>
      </c>
    </row>
    <row r="1336" spans="1:12" ht="16.5" x14ac:dyDescent="0.35">
      <c r="A1336" s="109" t="str">
        <f>HYPERLINK("http://www.examplebusiness.comresource-center/retirement/inflation-and-retirement","http://www.examplebusiness.comresource-center/retirement/inflation-and-retirement")</f>
        <v>http://www.examplebusiness.comresource-center/retirement/inflation-and-retirement</v>
      </c>
      <c r="B1336" s="34">
        <v>4</v>
      </c>
      <c r="C1336" s="34">
        <v>0</v>
      </c>
      <c r="D1336" s="34">
        <v>0</v>
      </c>
      <c r="E1336" s="34">
        <v>0</v>
      </c>
      <c r="F1336" s="34">
        <v>301</v>
      </c>
      <c r="G1336" s="34">
        <v>0</v>
      </c>
      <c r="H1336" s="34"/>
      <c r="I1336" s="34" t="s">
        <v>1561</v>
      </c>
      <c r="J1336" s="34" t="s">
        <v>1561</v>
      </c>
      <c r="K1336" s="107" t="s">
        <v>1561</v>
      </c>
      <c r="L1336" s="34" t="s">
        <v>1561</v>
      </c>
    </row>
    <row r="1337" spans="1:12" ht="16.5" x14ac:dyDescent="0.35">
      <c r="A1337" s="109" t="str">
        <f>HYPERLINK("http://www.examplebusiness.comresource-center/retirement/roth-401k-vs-traditional-401k","http://www.examplebusiness.comresource-center/retirement/roth-401k-vs-traditional-401k")</f>
        <v>http://www.examplebusiness.comresource-center/retirement/roth-401k-vs-traditional-401k</v>
      </c>
      <c r="B1337" s="34">
        <v>4</v>
      </c>
      <c r="C1337" s="34">
        <v>0</v>
      </c>
      <c r="D1337" s="34">
        <v>0</v>
      </c>
      <c r="E1337" s="34">
        <v>0</v>
      </c>
      <c r="F1337" s="34">
        <v>301</v>
      </c>
      <c r="G1337" s="34">
        <v>0</v>
      </c>
      <c r="H1337" s="34"/>
      <c r="I1337" s="34" t="s">
        <v>1561</v>
      </c>
      <c r="J1337" s="34" t="s">
        <v>1561</v>
      </c>
      <c r="K1337" s="107" t="s">
        <v>1561</v>
      </c>
      <c r="L1337" s="34" t="s">
        <v>1561</v>
      </c>
    </row>
    <row r="1338" spans="1:12" ht="16.5" x14ac:dyDescent="0.35">
      <c r="A1338" s="109" t="str">
        <f>HYPERLINK("http://www.examplebusiness.comresource-center/retirement/split-annuity-strategy","http://www.examplebusiness.comresource-center/retirement/split-annuity-strategy")</f>
        <v>http://www.examplebusiness.comresource-center/retirement/split-annuity-strategy</v>
      </c>
      <c r="B1338" s="34">
        <v>4</v>
      </c>
      <c r="C1338" s="34">
        <v>0</v>
      </c>
      <c r="D1338" s="34">
        <v>0</v>
      </c>
      <c r="E1338" s="34">
        <v>0</v>
      </c>
      <c r="F1338" s="34">
        <v>301</v>
      </c>
      <c r="G1338" s="34">
        <v>0</v>
      </c>
      <c r="H1338" s="34"/>
      <c r="I1338" s="34" t="s">
        <v>1561</v>
      </c>
      <c r="J1338" s="34" t="s">
        <v>1561</v>
      </c>
      <c r="K1338" s="107" t="s">
        <v>1561</v>
      </c>
      <c r="L1338" s="34" t="s">
        <v>1561</v>
      </c>
    </row>
    <row r="1339" spans="1:12" ht="16.5" x14ac:dyDescent="0.35">
      <c r="A1339" s="109" t="str">
        <f>HYPERLINK("http://www.examplebusiness.comresource-center/retirement/the-power-of-tax-deferred-growth","http://www.examplebusiness.comresource-center/retirement/the-power-of-tax-deferred-growth")</f>
        <v>http://www.examplebusiness.comresource-center/retirement/the-power-of-tax-deferred-growth</v>
      </c>
      <c r="B1339" s="34">
        <v>4</v>
      </c>
      <c r="C1339" s="34">
        <v>0</v>
      </c>
      <c r="D1339" s="34">
        <v>0</v>
      </c>
      <c r="E1339" s="34">
        <v>0</v>
      </c>
      <c r="F1339" s="34">
        <v>301</v>
      </c>
      <c r="G1339" s="34">
        <v>0</v>
      </c>
      <c r="H1339" s="34"/>
      <c r="I1339" s="34" t="s">
        <v>1561</v>
      </c>
      <c r="J1339" s="34" t="s">
        <v>1561</v>
      </c>
      <c r="K1339" s="107" t="s">
        <v>1561</v>
      </c>
      <c r="L1339" s="34" t="s">
        <v>1561</v>
      </c>
    </row>
    <row r="1340" spans="1:12" ht="16.5" x14ac:dyDescent="0.35">
      <c r="A1340" s="109" t="str">
        <f>HYPERLINK("http://www.examplebusiness.comresource-center/retirement/traditional-vs-roth-ira","http://www.examplebusiness.comresource-center/retirement/traditional-vs-roth-ira")</f>
        <v>http://www.examplebusiness.comresource-center/retirement/traditional-vs-roth-ira</v>
      </c>
      <c r="B1340" s="34">
        <v>4</v>
      </c>
      <c r="C1340" s="34">
        <v>0</v>
      </c>
      <c r="D1340" s="34">
        <v>0</v>
      </c>
      <c r="E1340" s="34">
        <v>0</v>
      </c>
      <c r="F1340" s="34">
        <v>301</v>
      </c>
      <c r="G1340" s="34">
        <v>0</v>
      </c>
      <c r="H1340" s="34"/>
      <c r="I1340" s="34" t="s">
        <v>1561</v>
      </c>
      <c r="J1340" s="34" t="s">
        <v>1561</v>
      </c>
      <c r="K1340" s="107" t="s">
        <v>1561</v>
      </c>
      <c r="L1340" s="34" t="s">
        <v>1561</v>
      </c>
    </row>
    <row r="1341" spans="1:12" ht="16.5" x14ac:dyDescent="0.35">
      <c r="A1341" s="109" t="str">
        <f>HYPERLINK("http://www.examplebusiness.comresource-center/retirement/what-is-a-roth-401k","http://www.examplebusiness.comresource-center/retirement/what-is-a-roth-401k")</f>
        <v>http://www.examplebusiness.comresource-center/retirement/what-is-a-roth-401k</v>
      </c>
      <c r="B1341" s="34">
        <v>4</v>
      </c>
      <c r="C1341" s="34">
        <v>0</v>
      </c>
      <c r="D1341" s="34">
        <v>0</v>
      </c>
      <c r="E1341" s="34">
        <v>0</v>
      </c>
      <c r="F1341" s="34">
        <v>301</v>
      </c>
      <c r="G1341" s="34">
        <v>0</v>
      </c>
      <c r="H1341" s="34"/>
      <c r="I1341" s="34" t="s">
        <v>1561</v>
      </c>
      <c r="J1341" s="34" t="s">
        <v>1561</v>
      </c>
      <c r="K1341" s="107" t="s">
        <v>1561</v>
      </c>
      <c r="L1341" s="34" t="s">
        <v>1561</v>
      </c>
    </row>
    <row r="1342" spans="1:12" ht="16.5" x14ac:dyDescent="0.35">
      <c r="A1342" s="109" t="str">
        <f>HYPERLINK("http://www.examplebusiness.comresource-center/retirement/women-and-financial-strategies","http://www.examplebusiness.comresource-center/retirement/women-and-financial-strategies")</f>
        <v>http://www.examplebusiness.comresource-center/retirement/women-and-financial-strategies</v>
      </c>
      <c r="B1342" s="34">
        <v>4</v>
      </c>
      <c r="C1342" s="34">
        <v>0</v>
      </c>
      <c r="D1342" s="34">
        <v>0</v>
      </c>
      <c r="E1342" s="34">
        <v>0</v>
      </c>
      <c r="F1342" s="34">
        <v>301</v>
      </c>
      <c r="G1342" s="34">
        <v>0</v>
      </c>
      <c r="H1342" s="34"/>
      <c r="I1342" s="34" t="s">
        <v>1561</v>
      </c>
      <c r="J1342" s="34" t="s">
        <v>1561</v>
      </c>
      <c r="K1342" s="107" t="s">
        <v>1561</v>
      </c>
      <c r="L1342" s="34" t="s">
        <v>1561</v>
      </c>
    </row>
    <row r="1343" spans="1:12" ht="16.5" x14ac:dyDescent="0.35">
      <c r="A1343" s="109" t="str">
        <f>HYPERLINK("http://www.examplebusiness.comresource-center/tax/capital-gains-tax-estimator","http://www.examplebusiness.comresource-center/tax/capital-gains-tax-estimator")</f>
        <v>http://www.examplebusiness.comresource-center/tax/capital-gains-tax-estimator</v>
      </c>
      <c r="B1343" s="34">
        <v>4</v>
      </c>
      <c r="C1343" s="34">
        <v>0</v>
      </c>
      <c r="D1343" s="34">
        <v>0</v>
      </c>
      <c r="E1343" s="34">
        <v>0</v>
      </c>
      <c r="F1343" s="34">
        <v>301</v>
      </c>
      <c r="G1343" s="34">
        <v>0</v>
      </c>
      <c r="H1343" s="34"/>
      <c r="I1343" s="34" t="s">
        <v>1561</v>
      </c>
      <c r="J1343" s="34" t="s">
        <v>1561</v>
      </c>
      <c r="K1343" s="107" t="s">
        <v>1561</v>
      </c>
      <c r="L1343" s="34" t="s">
        <v>1561</v>
      </c>
    </row>
    <row r="1344" spans="1:12" ht="16.5" x14ac:dyDescent="0.35">
      <c r="A1344" s="109" t="str">
        <f>HYPERLINK("http://www.examplebusiness.comresource-center/tax/federal-income-tax","http://www.examplebusiness.comresource-center/tax/federal-income-tax")</f>
        <v>http://www.examplebusiness.comresource-center/tax/federal-income-tax</v>
      </c>
      <c r="B1344" s="34">
        <v>4</v>
      </c>
      <c r="C1344" s="34">
        <v>0</v>
      </c>
      <c r="D1344" s="34">
        <v>0</v>
      </c>
      <c r="E1344" s="34">
        <v>0</v>
      </c>
      <c r="F1344" s="34">
        <v>301</v>
      </c>
      <c r="G1344" s="34">
        <v>0</v>
      </c>
      <c r="H1344" s="34"/>
      <c r="I1344" s="34" t="s">
        <v>1561</v>
      </c>
      <c r="J1344" s="34" t="s">
        <v>1561</v>
      </c>
      <c r="K1344" s="107" t="s">
        <v>1561</v>
      </c>
      <c r="L1344" s="34" t="s">
        <v>1561</v>
      </c>
    </row>
    <row r="1345" spans="1:12" ht="16.5" x14ac:dyDescent="0.35">
      <c r="A1345" s="109" t="str">
        <f>HYPERLINK("http://www.examplebusiness.comresource-center/tax/six-most-overlooked-tax-deductions","http://www.examplebusiness.comresource-center/tax/six-most-overlooked-tax-deductions")</f>
        <v>http://www.examplebusiness.comresource-center/tax/six-most-overlooked-tax-deductions</v>
      </c>
      <c r="B1345" s="34">
        <v>4</v>
      </c>
      <c r="C1345" s="34">
        <v>0</v>
      </c>
      <c r="D1345" s="34">
        <v>0</v>
      </c>
      <c r="E1345" s="34">
        <v>0</v>
      </c>
      <c r="F1345" s="34">
        <v>301</v>
      </c>
      <c r="G1345" s="34">
        <v>0</v>
      </c>
      <c r="H1345" s="34"/>
      <c r="I1345" s="34" t="s">
        <v>1561</v>
      </c>
      <c r="J1345" s="34" t="s">
        <v>1561</v>
      </c>
      <c r="K1345" s="107" t="s">
        <v>1561</v>
      </c>
      <c r="L1345" s="34" t="s">
        <v>1561</v>
      </c>
    </row>
    <row r="1346" spans="1:12" ht="16.5" x14ac:dyDescent="0.35">
      <c r="A1346" s="109" t="str">
        <f>HYPERLINK("https://www.examplebusiness.com/account-access/","https://www.examplebusiness.com/account-access/")</f>
        <v>https://www.examplebusiness.com/account-access/</v>
      </c>
      <c r="B1346" s="34">
        <v>4</v>
      </c>
      <c r="C1346" s="34">
        <v>0</v>
      </c>
      <c r="D1346" s="34">
        <v>0</v>
      </c>
      <c r="E1346" s="34">
        <v>0</v>
      </c>
      <c r="F1346" s="34">
        <v>302</v>
      </c>
      <c r="G1346" s="34">
        <v>0</v>
      </c>
      <c r="H1346" s="34"/>
      <c r="I1346" s="34" t="s">
        <v>1561</v>
      </c>
      <c r="J1346" s="34" t="s">
        <v>1561</v>
      </c>
      <c r="K1346" s="107" t="s">
        <v>1561</v>
      </c>
      <c r="L1346" s="34" t="s">
        <v>1561</v>
      </c>
    </row>
    <row r="1347" spans="1:12" ht="16.5" x14ac:dyDescent="0.35">
      <c r="A1347" s="109" t="str">
        <f>HYPERLINK("https://www.examplebusiness.com/advisory-firm-in-minneapolis-specializing-in-401k-rollovers","https://www.examplebusiness.com/advisory-firm-in-minneapolis-specializing-in-401k-rollovers")</f>
        <v>https://www.examplebusiness.com/advisory-firm-in-minneapolis-specializing-in-401k-rollovers</v>
      </c>
      <c r="B1347" s="34">
        <v>4</v>
      </c>
      <c r="C1347" s="34">
        <v>0</v>
      </c>
      <c r="D1347" s="34">
        <v>0</v>
      </c>
      <c r="E1347" s="34">
        <v>0</v>
      </c>
      <c r="F1347" s="34">
        <v>302</v>
      </c>
      <c r="G1347" s="34">
        <v>0</v>
      </c>
      <c r="H1347" s="34"/>
      <c r="I1347" s="34" t="s">
        <v>1561</v>
      </c>
      <c r="J1347" s="34" t="s">
        <v>1561</v>
      </c>
      <c r="K1347" s="107" t="s">
        <v>1561</v>
      </c>
      <c r="L1347" s="34" t="s">
        <v>1561</v>
      </c>
    </row>
    <row r="1348" spans="1:12" ht="16.5" x14ac:dyDescent="0.35">
      <c r="A1348" s="109" t="str">
        <f>HYPERLINK("https://www.examplebusiness.com/blog/abc-financial-at-the-super-bowl-experience","https://www.examplebusiness.com/blog/abc-financial-at-the-super-bowl-experience")</f>
        <v>https://www.examplebusiness.com/blog/abc-financial-at-the-super-bowl-experience</v>
      </c>
      <c r="B1348" s="34">
        <v>4</v>
      </c>
      <c r="C1348" s="34">
        <v>0</v>
      </c>
      <c r="D1348" s="34">
        <v>0</v>
      </c>
      <c r="E1348" s="34">
        <v>0</v>
      </c>
      <c r="F1348" s="34">
        <v>302</v>
      </c>
      <c r="G1348" s="34">
        <v>0</v>
      </c>
      <c r="H1348" s="34"/>
      <c r="I1348" s="34" t="s">
        <v>1561</v>
      </c>
      <c r="J1348" s="34" t="s">
        <v>1561</v>
      </c>
      <c r="K1348" s="107" t="s">
        <v>1561</v>
      </c>
      <c r="L1348" s="34" t="s">
        <v>1561</v>
      </c>
    </row>
    <row r="1349" spans="1:12" ht="16.5" x14ac:dyDescent="0.35">
      <c r="A1349" s="109" t="str">
        <f>HYPERLINK("https://www.examplebusiness.com/blog/an-evening-of-painting-wine-and-fun","https://www.examplebusiness.com/blog/an-evening-of-painting-wine-and-fun")</f>
        <v>https://www.examplebusiness.com/blog/an-evening-of-painting-wine-and-fun</v>
      </c>
      <c r="B1349" s="34">
        <v>4</v>
      </c>
      <c r="C1349" s="34">
        <v>0</v>
      </c>
      <c r="D1349" s="34">
        <v>0</v>
      </c>
      <c r="E1349" s="34">
        <v>0</v>
      </c>
      <c r="F1349" s="34">
        <v>302</v>
      </c>
      <c r="G1349" s="34">
        <v>0</v>
      </c>
      <c r="H1349" s="34"/>
      <c r="I1349" s="34" t="s">
        <v>1561</v>
      </c>
      <c r="J1349" s="34" t="s">
        <v>1561</v>
      </c>
      <c r="K1349" s="107" t="s">
        <v>1561</v>
      </c>
      <c r="L1349" s="34" t="s">
        <v>1561</v>
      </c>
    </row>
    <row r="1350" spans="1:12" ht="16.5" x14ac:dyDescent="0.35">
      <c r="A1350" s="109" t="str">
        <f>HYPERLINK("https://www.examplebusiness.com/blog/deducing-the-culprits-behind-the-recent-market-volatility","https://www.examplebusiness.com/blog/deducing-the-culprits-behind-the-recent-market-volatility")</f>
        <v>https://www.examplebusiness.com/blog/deducing-the-culprits-behind-the-recent-market-volatility</v>
      </c>
      <c r="B1350" s="34">
        <v>4</v>
      </c>
      <c r="C1350" s="34">
        <v>0</v>
      </c>
      <c r="D1350" s="34">
        <v>0</v>
      </c>
      <c r="E1350" s="34">
        <v>0</v>
      </c>
      <c r="F1350" s="34">
        <v>302</v>
      </c>
      <c r="G1350" s="34">
        <v>0</v>
      </c>
      <c r="H1350" s="34"/>
      <c r="I1350" s="34" t="s">
        <v>1561</v>
      </c>
      <c r="J1350" s="34" t="s">
        <v>1561</v>
      </c>
      <c r="K1350" s="107" t="s">
        <v>1561</v>
      </c>
      <c r="L1350" s="34" t="s">
        <v>1561</v>
      </c>
    </row>
    <row r="1351" spans="1:12" ht="16.5" x14ac:dyDescent="0.35">
      <c r="A1351" s="109" t="str">
        <f>HYPERLINK("https://www.examplebusiness.com/blog/governors-cup-golf-tournament","https://www.examplebusiness.com/blog/governors-cup-golf-tournament")</f>
        <v>https://www.examplebusiness.com/blog/governors-cup-golf-tournament</v>
      </c>
      <c r="B1351" s="34">
        <v>4</v>
      </c>
      <c r="C1351" s="34">
        <v>0</v>
      </c>
      <c r="D1351" s="34">
        <v>0</v>
      </c>
      <c r="E1351" s="34">
        <v>0</v>
      </c>
      <c r="F1351" s="34">
        <v>302</v>
      </c>
      <c r="G1351" s="34">
        <v>0</v>
      </c>
      <c r="H1351" s="34"/>
      <c r="I1351" s="34" t="s">
        <v>1561</v>
      </c>
      <c r="J1351" s="34" t="s">
        <v>1561</v>
      </c>
      <c r="K1351" s="107" t="s">
        <v>1561</v>
      </c>
      <c r="L1351" s="34" t="s">
        <v>1561</v>
      </c>
    </row>
    <row r="1352" spans="1:12" ht="16.5" x14ac:dyDescent="0.35">
      <c r="A1352" s="109" t="str">
        <f>HYPERLINK("https://www.examplebusiness.com/blog/market-recap-of-the-first-quarter-of-2018","https://www.examplebusiness.com/blog/market-recap-of-the-first-quarter-of-2018")</f>
        <v>https://www.examplebusiness.com/blog/market-recap-of-the-first-quarter-of-2018</v>
      </c>
      <c r="B1352" s="34">
        <v>4</v>
      </c>
      <c r="C1352" s="34">
        <v>0</v>
      </c>
      <c r="D1352" s="34">
        <v>0</v>
      </c>
      <c r="E1352" s="34">
        <v>0</v>
      </c>
      <c r="F1352" s="34">
        <v>302</v>
      </c>
      <c r="G1352" s="34">
        <v>0</v>
      </c>
      <c r="H1352" s="34"/>
      <c r="I1352" s="34" t="s">
        <v>1561</v>
      </c>
      <c r="J1352" s="34" t="s">
        <v>1561</v>
      </c>
      <c r="K1352" s="107" t="s">
        <v>1561</v>
      </c>
      <c r="L1352" s="34" t="s">
        <v>1561</v>
      </c>
    </row>
    <row r="1353" spans="1:12" ht="16.5" x14ac:dyDescent="0.35">
      <c r="A1353" s="109" t="str">
        <f>HYPERLINK("https://www.examplebusiness.com/blog/team-abc-does-the-polar-plunge","https://www.examplebusiness.com/blog/team-abc-does-the-polar-plunge")</f>
        <v>https://www.examplebusiness.com/blog/team-abc-does-the-polar-plunge</v>
      </c>
      <c r="B1353" s="34">
        <v>4</v>
      </c>
      <c r="C1353" s="34">
        <v>0</v>
      </c>
      <c r="D1353" s="34">
        <v>0</v>
      </c>
      <c r="E1353" s="34">
        <v>0</v>
      </c>
      <c r="F1353" s="34">
        <v>302</v>
      </c>
      <c r="G1353" s="34">
        <v>0</v>
      </c>
      <c r="H1353" s="34"/>
      <c r="I1353" s="34" t="s">
        <v>1561</v>
      </c>
      <c r="J1353" s="34" t="s">
        <v>1561</v>
      </c>
      <c r="K1353" s="107" t="s">
        <v>1561</v>
      </c>
      <c r="L1353" s="34" t="s">
        <v>1561</v>
      </c>
    </row>
    <row r="1354" spans="1:12" ht="16.5" x14ac:dyDescent="0.35">
      <c r="A1354" s="109" t="str">
        <f>HYPERLINK("https://www.examplebusiness.com/blog/team-abc-goes-to-the-orchard","https://www.examplebusiness.com/blog/team-abc-goes-to-the-orchard")</f>
        <v>https://www.examplebusiness.com/blog/team-abc-goes-to-the-orchard</v>
      </c>
      <c r="B1354" s="34">
        <v>4</v>
      </c>
      <c r="C1354" s="34">
        <v>0</v>
      </c>
      <c r="D1354" s="34">
        <v>0</v>
      </c>
      <c r="E1354" s="34">
        <v>0</v>
      </c>
      <c r="F1354" s="34">
        <v>302</v>
      </c>
      <c r="G1354" s="34">
        <v>0</v>
      </c>
      <c r="H1354" s="34"/>
      <c r="I1354" s="34" t="s">
        <v>1561</v>
      </c>
      <c r="J1354" s="34" t="s">
        <v>1561</v>
      </c>
      <c r="K1354" s="107" t="s">
        <v>1561</v>
      </c>
      <c r="L1354" s="34" t="s">
        <v>1561</v>
      </c>
    </row>
    <row r="1355" spans="1:12" ht="16.5" x14ac:dyDescent="0.35">
      <c r="A1355" s="109" t="str">
        <f>HYPERLINK("https://www.examplebusiness.com/blog/team-abc-makes-truffles","https://www.examplebusiness.com/blog/team-abc-makes-truffles")</f>
        <v>https://www.examplebusiness.com/blog/team-abc-makes-truffles</v>
      </c>
      <c r="B1355" s="34">
        <v>4</v>
      </c>
      <c r="C1355" s="34">
        <v>0</v>
      </c>
      <c r="D1355" s="34">
        <v>0</v>
      </c>
      <c r="E1355" s="34">
        <v>0</v>
      </c>
      <c r="F1355" s="34">
        <v>302</v>
      </c>
      <c r="G1355" s="34">
        <v>0</v>
      </c>
      <c r="H1355" s="34"/>
      <c r="I1355" s="34" t="s">
        <v>1561</v>
      </c>
      <c r="J1355" s="34" t="s">
        <v>1561</v>
      </c>
      <c r="K1355" s="107" t="s">
        <v>1561</v>
      </c>
      <c r="L1355" s="34" t="s">
        <v>1561</v>
      </c>
    </row>
    <row r="1356" spans="1:12" ht="16.5" x14ac:dyDescent="0.35">
      <c r="A1356" s="109" t="str">
        <f>HYPERLINK("https://www.examplebusiness.com/blog/team-abc-outing","https://www.examplebusiness.com/blog/team-abc-outing")</f>
        <v>https://www.examplebusiness.com/blog/team-abc-outing</v>
      </c>
      <c r="B1356" s="34">
        <v>4</v>
      </c>
      <c r="C1356" s="34">
        <v>0</v>
      </c>
      <c r="D1356" s="34">
        <v>0</v>
      </c>
      <c r="E1356" s="34">
        <v>0</v>
      </c>
      <c r="F1356" s="34">
        <v>302</v>
      </c>
      <c r="G1356" s="34">
        <v>0</v>
      </c>
      <c r="H1356" s="34"/>
      <c r="I1356" s="34" t="s">
        <v>1561</v>
      </c>
      <c r="J1356" s="34" t="s">
        <v>1561</v>
      </c>
      <c r="K1356" s="107" t="s">
        <v>1561</v>
      </c>
      <c r="L1356" s="34" t="s">
        <v>1561</v>
      </c>
    </row>
    <row r="1357" spans="1:12" ht="16.5" x14ac:dyDescent="0.35">
      <c r="A1357" s="109" t="str">
        <f>HYPERLINK("https://www.examplebusiness.com/blog/team-abc-outing-1","https://www.examplebusiness.com/blog/team-abc-outing-1")</f>
        <v>https://www.examplebusiness.com/blog/team-abc-outing-1</v>
      </c>
      <c r="B1357" s="34">
        <v>4</v>
      </c>
      <c r="C1357" s="34">
        <v>0</v>
      </c>
      <c r="D1357" s="34">
        <v>0</v>
      </c>
      <c r="E1357" s="34">
        <v>0</v>
      </c>
      <c r="F1357" s="34">
        <v>302</v>
      </c>
      <c r="G1357" s="34">
        <v>0</v>
      </c>
      <c r="H1357" s="34"/>
      <c r="I1357" s="34" t="s">
        <v>1561</v>
      </c>
      <c r="J1357" s="34" t="s">
        <v>1561</v>
      </c>
      <c r="K1357" s="107" t="s">
        <v>1561</v>
      </c>
      <c r="L1357" s="34" t="s">
        <v>1561</v>
      </c>
    </row>
    <row r="1358" spans="1:12" ht="16.5" x14ac:dyDescent="0.35">
      <c r="A1358" s="109" t="str">
        <f>HYPERLINK("https://www.examplebusiness.com/cdn-cgi/l/email-protection","https://www.examplebusiness.com/cdn-cgi/l/email-protection")</f>
        <v>https://www.examplebusiness.com/cdn-cgi/l/email-protection</v>
      </c>
      <c r="B1358" s="34">
        <v>4</v>
      </c>
      <c r="C1358" s="34">
        <v>0</v>
      </c>
      <c r="D1358" s="34">
        <v>0</v>
      </c>
      <c r="E1358" s="34">
        <v>0</v>
      </c>
      <c r="F1358" s="34">
        <v>200</v>
      </c>
      <c r="G1358" s="34">
        <v>0</v>
      </c>
      <c r="H1358" s="34"/>
      <c r="I1358" s="34" t="s">
        <v>1561</v>
      </c>
      <c r="J1358" s="34" t="s">
        <v>1561</v>
      </c>
      <c r="K1358" s="107" t="s">
        <v>1561</v>
      </c>
      <c r="L1358" s="34" t="s">
        <v>1561</v>
      </c>
    </row>
    <row r="1359" spans="1:12" ht="16.5" x14ac:dyDescent="0.35">
      <c r="A1359" s="109" t="str">
        <f>HYPERLINK("https://www.examplebusiness.com/ira-accounts/","https://www.examplebusiness.com/ira-accounts/")</f>
        <v>https://www.examplebusiness.com/ira-accounts/</v>
      </c>
      <c r="B1359" s="34">
        <v>4</v>
      </c>
      <c r="C1359" s="34">
        <v>0</v>
      </c>
      <c r="D1359" s="34">
        <v>0</v>
      </c>
      <c r="E1359" s="34">
        <v>0</v>
      </c>
      <c r="F1359" s="34">
        <v>302</v>
      </c>
      <c r="G1359" s="34">
        <v>0</v>
      </c>
      <c r="H1359" s="34"/>
      <c r="I1359" s="34" t="s">
        <v>1561</v>
      </c>
      <c r="J1359" s="34" t="s">
        <v>1561</v>
      </c>
      <c r="K1359" s="107" t="s">
        <v>1561</v>
      </c>
      <c r="L1359" s="34" t="s">
        <v>1561</v>
      </c>
    </row>
    <row r="1360" spans="1:12" ht="16.5" x14ac:dyDescent="0.35">
      <c r="A1360" s="109" t="str">
        <f>HYPERLINK("https://www.examplebusiness.com/minneapolis-advisory-firm-specializing-in-401k-accounts","https://www.examplebusiness.com/minneapolis-advisory-firm-specializing-in-401k-accounts")</f>
        <v>https://www.examplebusiness.com/minneapolis-advisory-firm-specializing-in-401k-accounts</v>
      </c>
      <c r="B1360" s="34">
        <v>4</v>
      </c>
      <c r="C1360" s="34">
        <v>0</v>
      </c>
      <c r="D1360" s="34">
        <v>0</v>
      </c>
      <c r="E1360" s="34">
        <v>0</v>
      </c>
      <c r="F1360" s="34">
        <v>302</v>
      </c>
      <c r="G1360" s="34">
        <v>0</v>
      </c>
      <c r="H1360" s="34"/>
      <c r="I1360" s="34" t="s">
        <v>1561</v>
      </c>
      <c r="J1360" s="34" t="s">
        <v>1561</v>
      </c>
      <c r="K1360" s="107" t="s">
        <v>1561</v>
      </c>
      <c r="L1360" s="34" t="s">
        <v>1561</v>
      </c>
    </row>
    <row r="1361" spans="1:12" ht="16.5" x14ac:dyDescent="0.35">
      <c r="A1361" s="109" t="str">
        <f>HYPERLINK("https://www.examplebusiness.com/news-and-commentary-timeline/","https://www.examplebusiness.com/news-and-commentary-timeline/")</f>
        <v>https://www.examplebusiness.com/news-and-commentary-timeline/</v>
      </c>
      <c r="B1361" s="34">
        <v>4</v>
      </c>
      <c r="C1361" s="34">
        <v>0</v>
      </c>
      <c r="D1361" s="34">
        <v>0</v>
      </c>
      <c r="E1361" s="34">
        <v>0</v>
      </c>
      <c r="F1361" s="34">
        <v>302</v>
      </c>
      <c r="G1361" s="34">
        <v>0</v>
      </c>
      <c r="H1361" s="34"/>
      <c r="I1361" s="34" t="s">
        <v>1561</v>
      </c>
      <c r="J1361" s="34" t="s">
        <v>1561</v>
      </c>
      <c r="K1361" s="107" t="s">
        <v>1561</v>
      </c>
      <c r="L1361" s="34" t="s">
        <v>1561</v>
      </c>
    </row>
    <row r="1362" spans="1:12" ht="16.5" x14ac:dyDescent="0.35">
      <c r="A1362" s="109" t="str">
        <f>HYPERLINK("https://www.examplebusiness.com/p/fox-9-tv-interviews","https://www.examplebusiness.com/p/fox-9-tv-interviews")</f>
        <v>https://www.examplebusiness.com/p/fox-9-tv-interviews</v>
      </c>
      <c r="B1362" s="34">
        <v>4</v>
      </c>
      <c r="C1362" s="34">
        <v>0</v>
      </c>
      <c r="D1362" s="34">
        <v>0</v>
      </c>
      <c r="E1362" s="34">
        <v>0</v>
      </c>
      <c r="F1362" s="34">
        <v>302</v>
      </c>
      <c r="G1362" s="34">
        <v>0</v>
      </c>
      <c r="H1362" s="34"/>
      <c r="I1362" s="34" t="s">
        <v>1561</v>
      </c>
      <c r="J1362" s="34" t="s">
        <v>1561</v>
      </c>
      <c r="K1362" s="107" t="s">
        <v>1561</v>
      </c>
      <c r="L1362" s="34" t="s">
        <v>1561</v>
      </c>
    </row>
    <row r="1363" spans="1:12" ht="16.5" x14ac:dyDescent="0.35">
      <c r="A1363" s="109" t="str">
        <f>HYPERLINK("https://www.examplebusiness.com/resource-center/investment/how-financial-advisors-are-compensated","https://www.examplebusiness.com/resource-center/investment/how-financial-advisors-are-compensated")</f>
        <v>https://www.examplebusiness.com/resource-center/investment/how-financial-advisors-are-compensated</v>
      </c>
      <c r="B1363" s="34">
        <v>4</v>
      </c>
      <c r="C1363" s="34">
        <v>0</v>
      </c>
      <c r="D1363" s="34">
        <v>0</v>
      </c>
      <c r="E1363" s="34">
        <v>0</v>
      </c>
      <c r="F1363" s="34">
        <v>302</v>
      </c>
      <c r="G1363" s="34">
        <v>0</v>
      </c>
      <c r="H1363" s="34"/>
      <c r="I1363" s="34" t="s">
        <v>1561</v>
      </c>
      <c r="J1363" s="34" t="s">
        <v>1561</v>
      </c>
      <c r="K1363" s="107" t="s">
        <v>1561</v>
      </c>
      <c r="L1363" s="34" t="s">
        <v>1561</v>
      </c>
    </row>
    <row r="1364" spans="1:12" ht="16.5" x14ac:dyDescent="0.35">
      <c r="A1364" s="109" t="str">
        <f>HYPERLINK("https://www.examplebusiness.com/resource-center/investment/the-good-ship-ipo","https://www.examplebusiness.com/resource-center/investment/the-good-ship-ipo")</f>
        <v>https://www.examplebusiness.com/resource-center/investment/the-good-ship-ipo</v>
      </c>
      <c r="B1364" s="34">
        <v>4</v>
      </c>
      <c r="C1364" s="34">
        <v>0</v>
      </c>
      <c r="D1364" s="34">
        <v>0</v>
      </c>
      <c r="E1364" s="34">
        <v>0</v>
      </c>
      <c r="F1364" s="34">
        <v>302</v>
      </c>
      <c r="G1364" s="34">
        <v>0</v>
      </c>
      <c r="H1364" s="34"/>
      <c r="I1364" s="34" t="s">
        <v>1561</v>
      </c>
      <c r="J1364" s="34" t="s">
        <v>1561</v>
      </c>
      <c r="K1364" s="107" t="s">
        <v>1561</v>
      </c>
      <c r="L1364" s="34" t="s">
        <v>1561</v>
      </c>
    </row>
    <row r="1365" spans="1:12" ht="16.5" x14ac:dyDescent="0.35">
      <c r="A1365" s="109" t="str">
        <f>HYPERLINK("https://www.examplebusiness.com/resource-center/lifestyle/apps-that-help-achieve-goals","https://www.examplebusiness.com/resource-center/lifestyle/apps-that-help-achieve-goals")</f>
        <v>https://www.examplebusiness.com/resource-center/lifestyle/apps-that-help-achieve-goals</v>
      </c>
      <c r="B1365" s="34">
        <v>4</v>
      </c>
      <c r="C1365" s="34">
        <v>0</v>
      </c>
      <c r="D1365" s="34">
        <v>0</v>
      </c>
      <c r="E1365" s="34">
        <v>0</v>
      </c>
      <c r="F1365" s="34">
        <v>302</v>
      </c>
      <c r="G1365" s="34">
        <v>0</v>
      </c>
      <c r="H1365" s="34"/>
      <c r="I1365" s="34" t="s">
        <v>1561</v>
      </c>
      <c r="J1365" s="34" t="s">
        <v>1561</v>
      </c>
      <c r="K1365" s="107" t="s">
        <v>1561</v>
      </c>
      <c r="L1365" s="34" t="s">
        <v>1561</v>
      </c>
    </row>
    <row r="1366" spans="1:12" ht="16.5" x14ac:dyDescent="0.35">
      <c r="A1366" s="109" t="str">
        <f>HYPERLINK("https://www.examplebusiness.com/resource-center/money/us-household-net-worth","https://www.examplebusiness.com/resource-center/money/us-household-net-worth")</f>
        <v>https://www.examplebusiness.com/resource-center/money/us-household-net-worth</v>
      </c>
      <c r="B1366" s="34">
        <v>4</v>
      </c>
      <c r="C1366" s="34">
        <v>0</v>
      </c>
      <c r="D1366" s="34">
        <v>0</v>
      </c>
      <c r="E1366" s="34">
        <v>0</v>
      </c>
      <c r="F1366" s="34">
        <v>302</v>
      </c>
      <c r="G1366" s="34">
        <v>0</v>
      </c>
      <c r="H1366" s="34"/>
      <c r="I1366" s="34" t="s">
        <v>1561</v>
      </c>
      <c r="J1366" s="34" t="s">
        <v>1561</v>
      </c>
      <c r="K1366" s="107" t="s">
        <v>1561</v>
      </c>
      <c r="L1366" s="34" t="s">
        <v>1561</v>
      </c>
    </row>
    <row r="1367" spans="1:12" ht="16.5" x14ac:dyDescent="0.35">
      <c r="A1367" s="109" t="str">
        <f>HYPERLINK("https://www.examplebusiness.com/resource-center/retirement/retirement-plan-distributions","https://www.examplebusiness.com/resource-center/retirement/retirement-plan-distributions")</f>
        <v>https://www.examplebusiness.com/resource-center/retirement/retirement-plan-distributions</v>
      </c>
      <c r="B1367" s="34">
        <v>4</v>
      </c>
      <c r="C1367" s="34">
        <v>0</v>
      </c>
      <c r="D1367" s="34">
        <v>0</v>
      </c>
      <c r="E1367" s="34">
        <v>0</v>
      </c>
      <c r="F1367" s="34">
        <v>302</v>
      </c>
      <c r="G1367" s="34">
        <v>0</v>
      </c>
      <c r="H1367" s="34"/>
      <c r="I1367" s="34" t="s">
        <v>1561</v>
      </c>
      <c r="J1367" s="34" t="s">
        <v>1561</v>
      </c>
      <c r="K1367" s="107" t="s">
        <v>1561</v>
      </c>
      <c r="L1367" s="34" t="s">
        <v>1561</v>
      </c>
    </row>
    <row r="1368" spans="1:12" ht="16.5" x14ac:dyDescent="0.35">
      <c r="A1368" s="109" t="str">
        <f>HYPERLINK("https://www.examplebusiness.com/resource-center/retirement/social-security-whats-changing-in-2016","https://www.examplebusiness.com/resource-center/retirement/social-security-whats-changing-in-2016")</f>
        <v>https://www.examplebusiness.com/resource-center/retirement/social-security-whats-changing-in-2016</v>
      </c>
      <c r="B1368" s="34">
        <v>4</v>
      </c>
      <c r="C1368" s="34">
        <v>0</v>
      </c>
      <c r="D1368" s="34">
        <v>0</v>
      </c>
      <c r="E1368" s="34">
        <v>0</v>
      </c>
      <c r="F1368" s="34">
        <v>302</v>
      </c>
      <c r="G1368" s="34">
        <v>0</v>
      </c>
      <c r="H1368" s="34"/>
      <c r="I1368" s="34" t="s">
        <v>1561</v>
      </c>
      <c r="J1368" s="34" t="s">
        <v>1561</v>
      </c>
      <c r="K1368" s="107" t="s">
        <v>1561</v>
      </c>
      <c r="L1368" s="34" t="s">
        <v>1561</v>
      </c>
    </row>
    <row r="1369" spans="1:12" ht="16.5" x14ac:dyDescent="0.35">
      <c r="A1369" s="109" t="str">
        <f>HYPERLINK("https://www.examplebusiness.com/resource-center/retirement/what-is-a-stretch-ira","https://www.examplebusiness.com/resource-center/retirement/what-is-a-stretch-ira")</f>
        <v>https://www.examplebusiness.com/resource-center/retirement/what-is-a-stretch-ira</v>
      </c>
      <c r="B1369" s="34">
        <v>4</v>
      </c>
      <c r="C1369" s="34">
        <v>0</v>
      </c>
      <c r="D1369" s="34">
        <v>0</v>
      </c>
      <c r="E1369" s="34">
        <v>0</v>
      </c>
      <c r="F1369" s="34">
        <v>302</v>
      </c>
      <c r="G1369" s="34">
        <v>0</v>
      </c>
      <c r="H1369" s="34"/>
      <c r="I1369" s="34" t="s">
        <v>1561</v>
      </c>
      <c r="J1369" s="34" t="s">
        <v>1561</v>
      </c>
      <c r="K1369" s="107" t="s">
        <v>1561</v>
      </c>
      <c r="L1369" s="34" t="s">
        <v>1561</v>
      </c>
    </row>
    <row r="1370" spans="1:12" ht="16.5" x14ac:dyDescent="0.35">
      <c r="A1370" s="109" t="str">
        <f>HYPERLINK("https://www.examplebusiness.com/team","https://www.examplebusiness.com/team")</f>
        <v>https://www.examplebusiness.com/team</v>
      </c>
      <c r="B1370" s="34">
        <v>4</v>
      </c>
      <c r="C1370" s="34">
        <v>0</v>
      </c>
      <c r="D1370" s="34">
        <v>0</v>
      </c>
      <c r="E1370" s="34">
        <v>0</v>
      </c>
      <c r="F1370" s="34">
        <v>302</v>
      </c>
      <c r="G1370" s="34">
        <v>0</v>
      </c>
      <c r="H1370" s="34"/>
      <c r="I1370" s="34" t="s">
        <v>1561</v>
      </c>
      <c r="J1370" s="34" t="s">
        <v>1561</v>
      </c>
      <c r="K1370" s="107" t="s">
        <v>1561</v>
      </c>
      <c r="L1370" s="34" t="s">
        <v>1561</v>
      </c>
    </row>
    <row r="1371" spans="1:12" ht="16.5" x14ac:dyDescent="0.35">
      <c r="A1371" s="109" t="str">
        <f>HYPERLINK("https://www.examplebusiness.com/team/patrick-flaten","https://www.examplebusiness.com/team/patrick-flaten")</f>
        <v>https://www.examplebusiness.com/team/patrick-flaten</v>
      </c>
      <c r="B1371" s="34">
        <v>4</v>
      </c>
      <c r="C1371" s="34">
        <v>0</v>
      </c>
      <c r="D1371" s="34">
        <v>0</v>
      </c>
      <c r="E1371" s="34">
        <v>0</v>
      </c>
      <c r="F1371" s="34">
        <v>302</v>
      </c>
      <c r="G1371" s="34">
        <v>0</v>
      </c>
      <c r="H1371" s="34"/>
      <c r="I1371" s="34" t="s">
        <v>1561</v>
      </c>
      <c r="J1371" s="34" t="s">
        <v>1561</v>
      </c>
      <c r="K1371" s="107" t="s">
        <v>1561</v>
      </c>
      <c r="L1371" s="34" t="s">
        <v>1561</v>
      </c>
    </row>
    <row r="1372" spans="1:12" ht="16.5" x14ac:dyDescent="0.35">
      <c r="A1372" s="109" t="str">
        <f>HYPERLINK("https://www.examplebusiness.com/wp-content/uploads/2015/08/abcFinancial-Types-Of-IRAs-Final.jpg","https://www.examplebusiness.com/wp-content/uploads/2015/08/abcFinancial-Types-Of-IRAs-Final.jpg")</f>
        <v>https://www.examplebusiness.com/wp-content/uploads/2015/08/abcFinancial-Types-Of-IRAs-Final.jpg</v>
      </c>
      <c r="B1372" s="34">
        <v>4</v>
      </c>
      <c r="C1372" s="34">
        <v>0</v>
      </c>
      <c r="D1372" s="34">
        <v>0</v>
      </c>
      <c r="E1372" s="34">
        <v>0</v>
      </c>
      <c r="F1372" s="34">
        <v>302</v>
      </c>
      <c r="G1372" s="34">
        <v>0</v>
      </c>
      <c r="H1372" s="34"/>
      <c r="I1372" s="34">
        <v>0</v>
      </c>
      <c r="J1372" s="34">
        <v>69</v>
      </c>
      <c r="K1372" s="107">
        <v>0</v>
      </c>
      <c r="L1372" s="34">
        <v>9.77</v>
      </c>
    </row>
    <row r="1373" spans="1:12" ht="16.5" x14ac:dyDescent="0.35">
      <c r="H1373" s="34"/>
      <c r="I1373" s="34" t="s">
        <v>1561</v>
      </c>
      <c r="J1373" s="34" t="s">
        <v>1561</v>
      </c>
      <c r="K1373" s="107" t="s">
        <v>1561</v>
      </c>
      <c r="L1373" s="34" t="s">
        <v>1561</v>
      </c>
    </row>
    <row r="1374" spans="1:12" ht="16.5" x14ac:dyDescent="0.35">
      <c r="H1374" s="34"/>
      <c r="I1374" s="34" t="s">
        <v>1561</v>
      </c>
      <c r="J1374" s="34" t="s">
        <v>1561</v>
      </c>
      <c r="K1374" s="107" t="s">
        <v>1561</v>
      </c>
      <c r="L1374" s="34" t="s">
        <v>1561</v>
      </c>
    </row>
  </sheetData>
  <mergeCells count="1">
    <mergeCell ref="I1:L1"/>
  </mergeCells>
  <conditionalFormatting sqref="B1:B1374">
    <cfRule type="colorScale" priority="6">
      <colorScale>
        <cfvo type="min"/>
        <cfvo type="max"/>
        <color rgb="FFFFFFFF"/>
        <color rgb="FF57BB8A"/>
      </colorScale>
    </cfRule>
  </conditionalFormatting>
  <conditionalFormatting sqref="C1:C1374">
    <cfRule type="colorScale" priority="7">
      <colorScale>
        <cfvo type="min"/>
        <cfvo type="max"/>
        <color rgb="FFFFFFFF"/>
        <color rgb="FF57BB8A"/>
      </colorScale>
    </cfRule>
  </conditionalFormatting>
  <conditionalFormatting sqref="D1:D1374">
    <cfRule type="colorScale" priority="8">
      <colorScale>
        <cfvo type="min"/>
        <cfvo type="max"/>
        <color rgb="FFFFFFFF"/>
        <color rgb="FF57BB8A"/>
      </colorScale>
    </cfRule>
  </conditionalFormatting>
  <conditionalFormatting sqref="E1:E1374">
    <cfRule type="colorScale" priority="9">
      <colorScale>
        <cfvo type="min"/>
        <cfvo type="max"/>
        <color rgb="FFFFFFFF"/>
        <color rgb="FF57BB8A"/>
      </colorScale>
    </cfRule>
  </conditionalFormatting>
  <conditionalFormatting sqref="F1:F1374">
    <cfRule type="containsText" dxfId="32" priority="10" operator="containsText" text="30">
      <formula>NOT(ISERROR(SEARCH(("30"),(F1))))</formula>
    </cfRule>
    <cfRule type="containsText" dxfId="31" priority="11" operator="containsText" text="40">
      <formula>NOT(ISERROR(SEARCH(("40"),(F1))))</formula>
    </cfRule>
    <cfRule type="cellIs" dxfId="30" priority="12" operator="equal">
      <formula>200</formula>
    </cfRule>
  </conditionalFormatting>
  <conditionalFormatting sqref="G1:G1374">
    <cfRule type="colorScale" priority="13">
      <colorScale>
        <cfvo type="min"/>
        <cfvo type="max"/>
        <color rgb="FFFFFFFF"/>
        <color rgb="FF57BB8A"/>
      </colorScale>
    </cfRule>
  </conditionalFormatting>
  <conditionalFormatting sqref="I1:I1374">
    <cfRule type="colorScale" priority="2">
      <colorScale>
        <cfvo type="min"/>
        <cfvo type="max"/>
        <color rgb="FFFFFFFF"/>
        <color rgb="FF57BB8A"/>
      </colorScale>
    </cfRule>
  </conditionalFormatting>
  <conditionalFormatting sqref="I1:L1374">
    <cfRule type="cellIs" dxfId="29" priority="1" operator="equal">
      <formula>"no data"</formula>
    </cfRule>
  </conditionalFormatting>
  <conditionalFormatting sqref="J2:J1374">
    <cfRule type="colorScale" priority="3">
      <colorScale>
        <cfvo type="min"/>
        <cfvo type="max"/>
        <color rgb="FFFFFFFF"/>
        <color rgb="FF57BB8A"/>
      </colorScale>
    </cfRule>
  </conditionalFormatting>
  <conditionalFormatting sqref="K2:K1374">
    <cfRule type="colorScale" priority="4">
      <colorScale>
        <cfvo type="min"/>
        <cfvo type="max"/>
        <color rgb="FFFFFFFF"/>
        <color rgb="FF57BB8A"/>
      </colorScale>
    </cfRule>
  </conditionalFormatting>
  <conditionalFormatting sqref="L2:L1374">
    <cfRule type="colorScale" priority="5">
      <colorScale>
        <cfvo type="min"/>
        <cfvo type="max"/>
        <color rgb="FF57BB8A"/>
        <color rgb="FFFFFFFF"/>
      </colorScale>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G74"/>
  <sheetViews>
    <sheetView showGridLines="0" workbookViewId="0">
      <pane ySplit="1" topLeftCell="A2" activePane="bottomLeft" state="frozen"/>
      <selection pane="bottomLeft" activeCell="B3" sqref="B3"/>
    </sheetView>
  </sheetViews>
  <sheetFormatPr defaultColWidth="12.5703125" defaultRowHeight="15.75" customHeight="1" x14ac:dyDescent="0.2"/>
  <cols>
    <col min="1" max="1" width="2.42578125" customWidth="1"/>
    <col min="2" max="2" width="45.140625" customWidth="1"/>
    <col min="3" max="6" width="40.7109375" customWidth="1"/>
    <col min="7" max="7" width="2.42578125" customWidth="1"/>
  </cols>
  <sheetData>
    <row r="1" spans="1:7" ht="15.75" customHeight="1" x14ac:dyDescent="0.55000000000000004">
      <c r="A1" s="111"/>
      <c r="B1" s="111" t="s">
        <v>1562</v>
      </c>
      <c r="C1" s="112" t="str">
        <f>HYPERLINK("https://www.examplebusiness.com","https://www.examplebusiness.com")</f>
        <v>https://www.examplebusiness.com</v>
      </c>
      <c r="D1" s="112" t="str">
        <f>HYPERLINK("https://www.silveroakwealth.com/","https://www.silveroakwealth.com/")</f>
        <v>https://www.silveroakwealth.com/</v>
      </c>
      <c r="E1" s="112" t="str">
        <f>HYPERLINK("https://www.vectorwealth.com/","https://www.vectorwealth.com/")</f>
        <v>https://www.vectorwealth.com/</v>
      </c>
      <c r="F1" s="112" t="str">
        <f>HYPERLINK("https://www.boulaygroup.com/","https://www.boulaygroup.com/")</f>
        <v>https://www.boulaygroup.com/</v>
      </c>
      <c r="G1" s="1"/>
    </row>
    <row r="2" spans="1:7" ht="15.75" customHeight="1" x14ac:dyDescent="0.35">
      <c r="A2" s="78"/>
      <c r="B2" s="20"/>
      <c r="C2" s="34"/>
      <c r="D2" s="34"/>
      <c r="E2" s="34"/>
      <c r="F2" s="34"/>
      <c r="G2" s="78"/>
    </row>
    <row r="3" spans="1:7" ht="15.75" customHeight="1" x14ac:dyDescent="0.45">
      <c r="A3" s="78"/>
      <c r="B3" s="27"/>
      <c r="C3" s="34"/>
      <c r="D3" s="34"/>
      <c r="E3" s="34"/>
      <c r="F3" s="34"/>
      <c r="G3" s="78"/>
    </row>
    <row r="4" spans="1:7" ht="15.75" customHeight="1" x14ac:dyDescent="0.45">
      <c r="A4" s="113"/>
      <c r="B4" s="114" t="s">
        <v>1563</v>
      </c>
      <c r="C4" s="115" t="s">
        <v>182</v>
      </c>
      <c r="D4" s="115" t="s">
        <v>182</v>
      </c>
      <c r="E4" s="115" t="s">
        <v>182</v>
      </c>
      <c r="F4" s="116" t="s">
        <v>182</v>
      </c>
      <c r="G4" s="113"/>
    </row>
    <row r="5" spans="1:7" ht="15.75" customHeight="1" x14ac:dyDescent="0.4">
      <c r="A5" s="78"/>
      <c r="B5" s="117" t="s">
        <v>1564</v>
      </c>
      <c r="C5" s="118" t="s">
        <v>1565</v>
      </c>
      <c r="D5" s="118">
        <v>1</v>
      </c>
      <c r="E5" s="118">
        <v>2</v>
      </c>
      <c r="F5" s="119">
        <v>5</v>
      </c>
      <c r="G5" s="78"/>
    </row>
    <row r="6" spans="1:7" ht="15.75" customHeight="1" x14ac:dyDescent="0.4">
      <c r="A6" s="78"/>
      <c r="B6" s="117" t="s">
        <v>1566</v>
      </c>
      <c r="C6" s="120" t="s">
        <v>1565</v>
      </c>
      <c r="D6" s="121" t="str">
        <f>HYPERLINK("https://www.silveroakwealth.com/","https://www.silveroakwealth.com/")</f>
        <v>https://www.silveroakwealth.com/</v>
      </c>
      <c r="E6" s="121" t="str">
        <f>HYPERLINK("https://www.vectorwealth.com/","https://www.vectorwealth.com/")</f>
        <v>https://www.vectorwealth.com/</v>
      </c>
      <c r="F6" s="122" t="str">
        <f>HYPERLINK("https://www.boulaygroup.com/services/wealth-management/","https://www.boulaygroup.com/services/wealth-management/")</f>
        <v>https://www.boulaygroup.com/services/wealth-management/</v>
      </c>
      <c r="G6" s="78"/>
    </row>
    <row r="7" spans="1:7" ht="15.75" customHeight="1" x14ac:dyDescent="0.4">
      <c r="A7" s="78"/>
      <c r="B7" s="117" t="s">
        <v>1567</v>
      </c>
      <c r="C7" s="118" t="s">
        <v>1565</v>
      </c>
      <c r="D7" s="118">
        <v>241</v>
      </c>
      <c r="E7" s="123">
        <v>1370</v>
      </c>
      <c r="F7" s="119">
        <v>22</v>
      </c>
      <c r="G7" s="78"/>
    </row>
    <row r="8" spans="1:7" ht="15.75" customHeight="1" x14ac:dyDescent="0.4">
      <c r="A8" s="78"/>
      <c r="B8" s="117" t="s">
        <v>1568</v>
      </c>
      <c r="C8" s="118" t="s">
        <v>1565</v>
      </c>
      <c r="D8" s="118">
        <v>25</v>
      </c>
      <c r="E8" s="118">
        <v>35</v>
      </c>
      <c r="F8" s="119">
        <v>4</v>
      </c>
      <c r="G8" s="78"/>
    </row>
    <row r="9" spans="1:7" ht="15.75" customHeight="1" x14ac:dyDescent="0.4">
      <c r="A9" s="78"/>
      <c r="B9" s="124" t="s">
        <v>1569</v>
      </c>
      <c r="C9" s="125" t="s">
        <v>1565</v>
      </c>
      <c r="D9" s="125">
        <v>33</v>
      </c>
      <c r="E9" s="125">
        <v>111</v>
      </c>
      <c r="F9" s="126">
        <v>8</v>
      </c>
      <c r="G9" s="78"/>
    </row>
    <row r="10" spans="1:7" ht="15.75" customHeight="1" x14ac:dyDescent="0.35">
      <c r="A10" s="78"/>
      <c r="B10" s="127"/>
      <c r="C10" s="118"/>
      <c r="D10" s="118"/>
      <c r="E10" s="118"/>
      <c r="F10" s="118"/>
      <c r="G10" s="78"/>
    </row>
    <row r="11" spans="1:7" ht="15.75" customHeight="1" x14ac:dyDescent="0.45">
      <c r="A11" s="78"/>
      <c r="B11" s="128" t="s">
        <v>1570</v>
      </c>
      <c r="C11" s="118"/>
      <c r="D11" s="118"/>
      <c r="E11" s="118"/>
      <c r="F11" s="118"/>
      <c r="G11" s="78"/>
    </row>
    <row r="12" spans="1:7" ht="15.75" customHeight="1" x14ac:dyDescent="0.4">
      <c r="A12" s="78"/>
      <c r="B12" s="129" t="s">
        <v>1571</v>
      </c>
      <c r="C12" s="130" t="s">
        <v>1572</v>
      </c>
      <c r="D12" s="130" t="s">
        <v>1573</v>
      </c>
      <c r="E12" s="130" t="s">
        <v>1574</v>
      </c>
      <c r="F12" s="131" t="s">
        <v>1575</v>
      </c>
      <c r="G12" s="78"/>
    </row>
    <row r="13" spans="1:7" ht="15.75" customHeight="1" x14ac:dyDescent="0.4">
      <c r="A13" s="78"/>
      <c r="B13" s="117" t="s">
        <v>1576</v>
      </c>
      <c r="C13" s="123">
        <v>3499436</v>
      </c>
      <c r="D13" s="123" t="s">
        <v>1565</v>
      </c>
      <c r="E13" s="123">
        <v>1518993</v>
      </c>
      <c r="F13" s="132">
        <v>2599207</v>
      </c>
      <c r="G13" s="78"/>
    </row>
    <row r="14" spans="1:7" ht="15.75" customHeight="1" x14ac:dyDescent="0.4">
      <c r="A14" s="78"/>
      <c r="B14" s="117" t="s">
        <v>1577</v>
      </c>
      <c r="C14" s="123">
        <v>49660399</v>
      </c>
      <c r="D14" s="123">
        <v>27392129</v>
      </c>
      <c r="E14" s="123">
        <v>20905536</v>
      </c>
      <c r="F14" s="132">
        <v>4024251</v>
      </c>
      <c r="G14" s="78"/>
    </row>
    <row r="15" spans="1:7" ht="15.75" customHeight="1" x14ac:dyDescent="0.35">
      <c r="A15" s="78"/>
      <c r="B15" s="133"/>
      <c r="C15" s="125"/>
      <c r="D15" s="125"/>
      <c r="E15" s="125"/>
      <c r="F15" s="126"/>
      <c r="G15" s="78"/>
    </row>
    <row r="16" spans="1:7" ht="15.75" customHeight="1" x14ac:dyDescent="0.45">
      <c r="A16" s="78"/>
      <c r="B16" s="134"/>
      <c r="C16" s="118"/>
      <c r="D16" s="118"/>
      <c r="E16" s="118"/>
      <c r="F16" s="118"/>
      <c r="G16" s="78"/>
    </row>
    <row r="17" spans="1:7" ht="15.75" customHeight="1" x14ac:dyDescent="0.45">
      <c r="A17" s="78"/>
      <c r="B17" s="128" t="s">
        <v>1578</v>
      </c>
      <c r="C17" s="118"/>
      <c r="D17" s="118"/>
      <c r="E17" s="118"/>
      <c r="F17" s="118"/>
      <c r="G17" s="78"/>
    </row>
    <row r="18" spans="1:7" ht="15.75" customHeight="1" x14ac:dyDescent="0.4">
      <c r="A18" s="78"/>
      <c r="B18" s="135" t="s">
        <v>1579</v>
      </c>
      <c r="C18" s="130"/>
      <c r="D18" s="130"/>
      <c r="E18" s="130"/>
      <c r="F18" s="131"/>
      <c r="G18" s="78"/>
    </row>
    <row r="19" spans="1:7" ht="15.75" customHeight="1" x14ac:dyDescent="0.4">
      <c r="A19" s="78"/>
      <c r="B19" s="117" t="s">
        <v>1580</v>
      </c>
      <c r="C19" s="123">
        <v>19</v>
      </c>
      <c r="D19" s="123">
        <v>22</v>
      </c>
      <c r="E19" s="123">
        <v>21</v>
      </c>
      <c r="F19" s="132">
        <v>32</v>
      </c>
      <c r="G19" s="78"/>
    </row>
    <row r="20" spans="1:7" ht="15.75" customHeight="1" x14ac:dyDescent="0.4">
      <c r="A20" s="78"/>
      <c r="B20" s="117" t="s">
        <v>1581</v>
      </c>
      <c r="C20" s="123">
        <v>30</v>
      </c>
      <c r="D20" s="123">
        <v>26</v>
      </c>
      <c r="E20" s="123">
        <v>31</v>
      </c>
      <c r="F20" s="132">
        <v>34</v>
      </c>
      <c r="G20" s="78"/>
    </row>
    <row r="21" spans="1:7" ht="15.75" customHeight="1" x14ac:dyDescent="0.4">
      <c r="A21" s="78"/>
      <c r="B21" s="136" t="s">
        <v>1582</v>
      </c>
      <c r="C21" s="123"/>
      <c r="D21" s="123"/>
      <c r="E21" s="123"/>
      <c r="F21" s="132"/>
      <c r="G21" s="78"/>
    </row>
    <row r="22" spans="1:7" ht="15.75" customHeight="1" x14ac:dyDescent="0.4">
      <c r="A22" s="78"/>
      <c r="B22" s="117" t="s">
        <v>1583</v>
      </c>
      <c r="C22" s="123">
        <v>1.8</v>
      </c>
      <c r="D22" s="123">
        <v>6</v>
      </c>
      <c r="E22" s="123">
        <v>9</v>
      </c>
      <c r="F22" s="132">
        <v>30</v>
      </c>
      <c r="G22" s="78"/>
    </row>
    <row r="23" spans="1:7" ht="15.75" customHeight="1" x14ac:dyDescent="0.4">
      <c r="A23" s="78"/>
      <c r="B23" s="117" t="s">
        <v>1569</v>
      </c>
      <c r="C23" s="123">
        <v>30</v>
      </c>
      <c r="D23" s="123">
        <v>25</v>
      </c>
      <c r="E23" s="123">
        <v>35</v>
      </c>
      <c r="F23" s="132">
        <v>36</v>
      </c>
      <c r="G23" s="78"/>
    </row>
    <row r="24" spans="1:7" ht="19.5" x14ac:dyDescent="0.4">
      <c r="A24" s="78"/>
      <c r="B24" s="117" t="s">
        <v>1584</v>
      </c>
      <c r="C24" s="123">
        <v>87</v>
      </c>
      <c r="D24" s="123">
        <v>33</v>
      </c>
      <c r="E24" s="123">
        <v>111</v>
      </c>
      <c r="F24" s="132">
        <v>237</v>
      </c>
      <c r="G24" s="78"/>
    </row>
    <row r="25" spans="1:7" ht="19.5" x14ac:dyDescent="0.4">
      <c r="A25" s="78"/>
      <c r="B25" s="117" t="s">
        <v>1585</v>
      </c>
      <c r="C25" s="123">
        <v>12</v>
      </c>
      <c r="D25" s="123">
        <v>2</v>
      </c>
      <c r="E25" s="123">
        <v>15</v>
      </c>
      <c r="F25" s="132">
        <v>37</v>
      </c>
      <c r="G25" s="78"/>
    </row>
    <row r="26" spans="1:7" ht="19.5" x14ac:dyDescent="0.4">
      <c r="A26" s="78"/>
      <c r="B26" s="117" t="s">
        <v>1586</v>
      </c>
      <c r="C26" s="123">
        <v>272</v>
      </c>
      <c r="D26" s="123">
        <v>241</v>
      </c>
      <c r="E26" s="123">
        <v>1370</v>
      </c>
      <c r="F26" s="132">
        <v>4456</v>
      </c>
      <c r="G26" s="78"/>
    </row>
    <row r="27" spans="1:7" ht="16.5" x14ac:dyDescent="0.35">
      <c r="A27" s="78"/>
      <c r="B27" s="133"/>
      <c r="C27" s="137"/>
      <c r="D27" s="137"/>
      <c r="E27" s="137"/>
      <c r="F27" s="138"/>
      <c r="G27" s="78"/>
    </row>
    <row r="28" spans="1:7" ht="22.5" x14ac:dyDescent="0.45">
      <c r="A28" s="78"/>
      <c r="B28" s="134"/>
      <c r="C28" s="123"/>
      <c r="D28" s="123"/>
      <c r="E28" s="123"/>
      <c r="F28" s="123"/>
      <c r="G28" s="78"/>
    </row>
    <row r="29" spans="1:7" ht="22.5" x14ac:dyDescent="0.45">
      <c r="A29" s="78"/>
      <c r="B29" s="128" t="s">
        <v>1587</v>
      </c>
      <c r="C29" s="123"/>
      <c r="D29" s="123"/>
      <c r="E29" s="123"/>
      <c r="F29" s="123"/>
      <c r="G29" s="78"/>
    </row>
    <row r="30" spans="1:7" ht="19.5" x14ac:dyDescent="0.4">
      <c r="A30" s="78"/>
      <c r="B30" s="129" t="s">
        <v>1588</v>
      </c>
      <c r="C30" s="139">
        <v>230</v>
      </c>
      <c r="D30" s="139">
        <v>53</v>
      </c>
      <c r="E30" s="139">
        <v>662</v>
      </c>
      <c r="F30" s="140">
        <v>4077</v>
      </c>
      <c r="G30" s="78"/>
    </row>
    <row r="31" spans="1:7" ht="19.5" x14ac:dyDescent="0.4">
      <c r="A31" s="78"/>
      <c r="B31" s="124" t="s">
        <v>1589</v>
      </c>
      <c r="C31" s="137">
        <v>495</v>
      </c>
      <c r="D31" s="137">
        <v>161</v>
      </c>
      <c r="E31" s="137">
        <v>225</v>
      </c>
      <c r="F31" s="138">
        <v>1020</v>
      </c>
      <c r="G31" s="78"/>
    </row>
    <row r="32" spans="1:7" ht="16.5" x14ac:dyDescent="0.35">
      <c r="A32" s="78"/>
      <c r="B32" s="127"/>
      <c r="C32" s="118"/>
      <c r="D32" s="123"/>
      <c r="E32" s="123"/>
      <c r="F32" s="123"/>
      <c r="G32" s="78"/>
    </row>
    <row r="33" spans="1:7" ht="22.5" x14ac:dyDescent="0.45">
      <c r="A33" s="78"/>
      <c r="B33" s="128" t="s">
        <v>1590</v>
      </c>
      <c r="C33" s="118"/>
      <c r="D33" s="123"/>
      <c r="E33" s="123"/>
      <c r="F33" s="123"/>
      <c r="G33" s="78"/>
    </row>
    <row r="34" spans="1:7" ht="19.5" x14ac:dyDescent="0.4">
      <c r="A34" s="78"/>
      <c r="B34" s="129" t="s">
        <v>1591</v>
      </c>
      <c r="C34" s="141" t="str">
        <f>HYPERLINK("https://www.examplebusiness.com/","https://www.examplebusiness.com/")</f>
        <v>https://www.examplebusiness.com/</v>
      </c>
      <c r="D34" s="141" t="str">
        <f>HYPERLINK("https://www.silveroakwealth.com/","https://www.silveroakwealth.com/")</f>
        <v>https://www.silveroakwealth.com/</v>
      </c>
      <c r="E34" s="141" t="str">
        <f>HYPERLINK("https://www.vectorwealth.com/","https://www.vectorwealth.com/")</f>
        <v>https://www.vectorwealth.com/</v>
      </c>
      <c r="F34" s="142" t="str">
        <f>HYPERLINK("https://www.boulaygroup.com/","https://www.boulaygroup.com/")</f>
        <v>https://www.boulaygroup.com/</v>
      </c>
      <c r="G34" s="78"/>
    </row>
    <row r="35" spans="1:7" ht="19.5" x14ac:dyDescent="0.4">
      <c r="A35" s="78"/>
      <c r="B35" s="117" t="s">
        <v>1592</v>
      </c>
      <c r="C35" s="143" t="str">
        <f>HYPERLINK("https://www.examplebusiness.com/resource-center/investment","https://www.examplebusiness.com/resource-center/investment")</f>
        <v>https://www.examplebusiness.com/resource-center/investment</v>
      </c>
      <c r="D35" s="143" t="str">
        <f>HYPERLINK("https://www.silveroakwealth.com/client-login","https://www.silveroakwealth.com/client-login")</f>
        <v>https://www.silveroakwealth.com/client-login</v>
      </c>
      <c r="E35" s="143" t="str">
        <f>HYPERLINK("https://www.vectorwealth.com/blog/2019/5/9/how-does-inflation-affect-investments-and-your-financial-future","https://www.vectorwealth.com/blog/2019/5/9/how-does-inflation-affect-investments-and-your-financial-future")</f>
        <v>https://www.vectorwealth.com/blog/2019/5/9/how-does-inflation-affect-investments-and-your-financial-future</v>
      </c>
      <c r="F35" s="122" t="str">
        <f>HYPERLINK("https://www.boulaygroup.com/Services/business-consulting-minneapolis","https://www.boulaygroup.com/Services/business-consulting-minneapolis")</f>
        <v>https://www.boulaygroup.com/Services/business-consulting-minneapolis</v>
      </c>
      <c r="G35" s="78"/>
    </row>
    <row r="36" spans="1:7" ht="19.5" x14ac:dyDescent="0.4">
      <c r="A36" s="78"/>
      <c r="B36" s="117" t="s">
        <v>1593</v>
      </c>
      <c r="C36" s="143" t="str">
        <f>HYPERLINK("https://www.examplebusiness.com/team/tom-whitnah-1","https://www.examplebusiness.com/team/tom-whitnah-1")</f>
        <v>https://www.examplebusiness.com/team/tom-whitnah-1</v>
      </c>
      <c r="D36" s="143" t="str">
        <f>HYPERLINK("https://www.silveroakwealth.com/quarterly-newsletters","https://www.silveroakwealth.com/quarterly-newsletters")</f>
        <v>https://www.silveroakwealth.com/quarterly-newsletters</v>
      </c>
      <c r="E36" s="143" t="str">
        <f>HYPERLINK("https://www.vectorwealth.com/blog/2019/the-difference-between-asset-management-and-wealth-management","https://www.vectorwealth.com/blog/2019/the-difference-between-asset-management-and-wealth-management")</f>
        <v>https://www.vectorwealth.com/blog/2019/the-difference-between-asset-management-and-wealth-management</v>
      </c>
      <c r="F36" s="122" t="str">
        <f>HYPERLINK("https://www.boulaygroup.com/Knowledge/Articles/entryid/211/accounting-for-contingent-earn-outs-are-you-recording-yours-properly","https://www.boulaygroup.com/Knowledge/Articles/entryid/211/accounting-for-contingent-earn-outs-are-you-recording-yours-properly")</f>
        <v>https://www.boulaygroup.com/Knowledge/Articles/entryid/211/accounting-for-contingent-earn-outs-are-you-recording-yours-properly</v>
      </c>
      <c r="G36" s="78"/>
    </row>
    <row r="37" spans="1:7" ht="19.5" x14ac:dyDescent="0.4">
      <c r="A37" s="78"/>
      <c r="B37" s="117" t="s">
        <v>1594</v>
      </c>
      <c r="C37" s="143" t="str">
        <f>HYPERLINK("https://www.examplebusiness.com/resource-center/retirement","https://www.examplebusiness.com/resource-center/retirement")</f>
        <v>https://www.examplebusiness.com/resource-center/retirement</v>
      </c>
      <c r="D37" s="143" t="str">
        <f>HYPERLINK("https://www.silveroakwealth.com/our-team","https://www.silveroakwealth.com/our-team")</f>
        <v>https://www.silveroakwealth.com/our-team</v>
      </c>
      <c r="E37" s="143" t="str">
        <f>HYPERLINK("https://www.vectorwealth.com/live","https://www.vectorwealth.com/live")</f>
        <v>https://www.vectorwealth.com/live</v>
      </c>
      <c r="F37" s="122" t="str">
        <f>HYPERLINK("https://www.boulaygroup.com/Partners/Dan-Markowitz","https://www.boulaygroup.com/Partners/Dan-Markowitz")</f>
        <v>https://www.boulaygroup.com/Partners/Dan-Markowitz</v>
      </c>
      <c r="G37" s="78"/>
    </row>
    <row r="38" spans="1:7" ht="19.5" x14ac:dyDescent="0.4">
      <c r="A38" s="78"/>
      <c r="B38" s="124" t="s">
        <v>1595</v>
      </c>
      <c r="C38" s="144" t="str">
        <f>HYPERLINK("https://www.examplebusiness.com/team/robert-withers-1","https://www.examplebusiness.com/team/robert-withers-1")</f>
        <v>https://www.examplebusiness.com/team/robert-withers-1</v>
      </c>
      <c r="D38" s="144" t="str">
        <f>HYPERLINK("https://www.silveroakwealth.com/map-directions","https://www.silveroakwealth.com/map-directions")</f>
        <v>https://www.silveroakwealth.com/map-directions</v>
      </c>
      <c r="E38" s="144" t="str">
        <f>HYPERLINK("https://www.vectorwealth.com/thomas-fee","https://www.vectorwealth.com/thomas-fee")</f>
        <v>https://www.vectorwealth.com/thomas-fee</v>
      </c>
      <c r="F38" s="145" t="str">
        <f>HYPERLINK("https://www.boulaygroup.com/services/esop","https://www.boulaygroup.com/services/esop")</f>
        <v>https://www.boulaygroup.com/services/esop</v>
      </c>
      <c r="G38" s="78"/>
    </row>
    <row r="39" spans="1:7" ht="16.5" x14ac:dyDescent="0.35">
      <c r="A39" s="78"/>
      <c r="B39" s="127"/>
      <c r="C39" s="118"/>
      <c r="D39" s="118"/>
      <c r="E39" s="118"/>
      <c r="F39" s="118"/>
      <c r="G39" s="78"/>
    </row>
    <row r="40" spans="1:7" ht="22.5" x14ac:dyDescent="0.45">
      <c r="A40" s="78"/>
      <c r="B40" s="146" t="s">
        <v>1596</v>
      </c>
      <c r="C40" s="118"/>
      <c r="D40" s="118"/>
      <c r="E40" s="118"/>
      <c r="F40" s="118"/>
      <c r="G40" s="78"/>
    </row>
    <row r="41" spans="1:7" ht="19.5" x14ac:dyDescent="0.4">
      <c r="A41" s="78"/>
      <c r="B41" s="129" t="s">
        <v>1597</v>
      </c>
      <c r="C41" s="130" t="s">
        <v>2116</v>
      </c>
      <c r="D41" s="130" t="s">
        <v>1598</v>
      </c>
      <c r="E41" s="130" t="s">
        <v>1599</v>
      </c>
      <c r="F41" s="131" t="s">
        <v>1600</v>
      </c>
      <c r="G41" s="78"/>
    </row>
    <row r="42" spans="1:7" ht="19.5" x14ac:dyDescent="0.4">
      <c r="A42" s="78"/>
      <c r="B42" s="117" t="s">
        <v>1601</v>
      </c>
      <c r="C42" s="118" t="s">
        <v>264</v>
      </c>
      <c r="D42" s="118" t="s">
        <v>182</v>
      </c>
      <c r="E42" s="118" t="s">
        <v>182</v>
      </c>
      <c r="F42" s="119" t="s">
        <v>1602</v>
      </c>
      <c r="G42" s="78"/>
    </row>
    <row r="43" spans="1:7" ht="19.5" x14ac:dyDescent="0.4">
      <c r="A43" s="78"/>
      <c r="B43" s="117" t="s">
        <v>1603</v>
      </c>
      <c r="C43" s="118" t="s">
        <v>450</v>
      </c>
      <c r="D43" s="118" t="s">
        <v>1604</v>
      </c>
      <c r="E43" s="118" t="s">
        <v>1605</v>
      </c>
      <c r="F43" s="119" t="s">
        <v>1606</v>
      </c>
      <c r="G43" s="78"/>
    </row>
    <row r="44" spans="1:7" ht="19.5" x14ac:dyDescent="0.4">
      <c r="A44" s="78"/>
      <c r="B44" s="117" t="s">
        <v>1607</v>
      </c>
      <c r="C44" s="118" t="s">
        <v>2494</v>
      </c>
      <c r="D44" s="118" t="s">
        <v>225</v>
      </c>
      <c r="E44" s="118" t="s">
        <v>1608</v>
      </c>
      <c r="F44" s="119" t="s">
        <v>1609</v>
      </c>
      <c r="G44" s="78"/>
    </row>
    <row r="45" spans="1:7" ht="19.5" x14ac:dyDescent="0.4">
      <c r="A45" s="78"/>
      <c r="B45" s="124" t="s">
        <v>1610</v>
      </c>
      <c r="C45" s="125" t="s">
        <v>220</v>
      </c>
      <c r="D45" s="125" t="s">
        <v>1611</v>
      </c>
      <c r="E45" s="125" t="s">
        <v>1612</v>
      </c>
      <c r="F45" s="126" t="s">
        <v>1613</v>
      </c>
      <c r="G45" s="78"/>
    </row>
    <row r="46" spans="1:7" ht="16.5" x14ac:dyDescent="0.35">
      <c r="A46" s="78"/>
      <c r="B46" s="127"/>
      <c r="C46" s="118"/>
      <c r="D46" s="118"/>
      <c r="E46" s="118"/>
      <c r="F46" s="118"/>
      <c r="G46" s="78"/>
    </row>
    <row r="47" spans="1:7" ht="22.5" x14ac:dyDescent="0.45">
      <c r="A47" s="78"/>
      <c r="B47" s="128" t="s">
        <v>1614</v>
      </c>
      <c r="C47" s="118"/>
      <c r="D47" s="118"/>
      <c r="E47" s="118"/>
      <c r="F47" s="118"/>
      <c r="G47" s="78"/>
    </row>
    <row r="48" spans="1:7" ht="19.5" x14ac:dyDescent="0.4">
      <c r="A48" s="78"/>
      <c r="B48" s="129" t="s">
        <v>1597</v>
      </c>
      <c r="C48" s="130" t="s">
        <v>1615</v>
      </c>
      <c r="D48" s="130" t="s">
        <v>1616</v>
      </c>
      <c r="E48" s="130" t="s">
        <v>1599</v>
      </c>
      <c r="F48" s="131" t="s">
        <v>1617</v>
      </c>
      <c r="G48" s="78"/>
    </row>
    <row r="49" spans="1:7" ht="19.5" x14ac:dyDescent="0.4">
      <c r="A49" s="78"/>
      <c r="B49" s="117" t="s">
        <v>1601</v>
      </c>
      <c r="C49" s="118" t="s">
        <v>1618</v>
      </c>
      <c r="D49" s="147" t="str">
        <f>HYPERLINK("http://www.silveroakwealth.com","http://www.silveroakwealth.com")</f>
        <v>http://www.silveroakwealth.com</v>
      </c>
      <c r="E49" s="118" t="s">
        <v>1619</v>
      </c>
      <c r="F49" s="119" t="s">
        <v>1620</v>
      </c>
      <c r="G49" s="78"/>
    </row>
    <row r="50" spans="1:7" ht="19.5" x14ac:dyDescent="0.4">
      <c r="A50" s="78"/>
      <c r="B50" s="117" t="s">
        <v>1603</v>
      </c>
      <c r="C50" s="147" t="str">
        <f>HYPERLINK("http://www.examplebusiness.com","http://www.examplebusiness.com")</f>
        <v>http://www.examplebusiness.com</v>
      </c>
      <c r="D50" s="147" t="str">
        <f>HYPERLINK("http://www.silveroakwealth.com/","http://www.silveroakwealth.com/")</f>
        <v>http://www.silveroakwealth.com/</v>
      </c>
      <c r="E50" s="118" t="s">
        <v>1621</v>
      </c>
      <c r="F50" s="119" t="s">
        <v>1600</v>
      </c>
      <c r="G50" s="78"/>
    </row>
    <row r="51" spans="1:7" ht="19.5" x14ac:dyDescent="0.4">
      <c r="A51" s="78"/>
      <c r="B51" s="117" t="s">
        <v>1607</v>
      </c>
      <c r="C51" s="147" t="str">
        <f>HYPERLINK("http://www.examplebusiness.com/","http://www.examplebusiness.com/")</f>
        <v>http://www.examplebusiness.com/</v>
      </c>
      <c r="D51" s="118" t="s">
        <v>1604</v>
      </c>
      <c r="E51" s="118" t="s">
        <v>1622</v>
      </c>
      <c r="F51" s="119" t="s">
        <v>1623</v>
      </c>
      <c r="G51" s="78"/>
    </row>
    <row r="52" spans="1:7" ht="19.5" x14ac:dyDescent="0.4">
      <c r="A52" s="78"/>
      <c r="B52" s="117" t="s">
        <v>1610</v>
      </c>
      <c r="C52" s="147" t="str">
        <f>HYPERLINK("https://www.examplebusiness.com/","https://www.examplebusiness.com/")</f>
        <v>https://www.examplebusiness.com/</v>
      </c>
      <c r="D52" s="118" t="s">
        <v>1624</v>
      </c>
      <c r="E52" s="118" t="s">
        <v>1625</v>
      </c>
      <c r="F52" s="119" t="s">
        <v>1626</v>
      </c>
      <c r="G52" s="78"/>
    </row>
    <row r="53" spans="1:7" ht="19.5" x14ac:dyDescent="0.4">
      <c r="A53" s="78"/>
      <c r="B53" s="117" t="s">
        <v>1627</v>
      </c>
      <c r="C53" s="148" t="s">
        <v>2568</v>
      </c>
      <c r="D53" s="118" t="s">
        <v>1628</v>
      </c>
      <c r="E53" s="147" t="str">
        <f>HYPERLINK("http://www.vectorwealth.com/","http://www.vectorwealth.com/")</f>
        <v>http://www.vectorwealth.com/</v>
      </c>
      <c r="F53" s="119" t="s">
        <v>1615</v>
      </c>
      <c r="G53" s="78"/>
    </row>
    <row r="54" spans="1:7" ht="19.5" x14ac:dyDescent="0.4">
      <c r="A54" s="78"/>
      <c r="B54" s="117" t="s">
        <v>1629</v>
      </c>
      <c r="C54" s="118" t="s">
        <v>1623</v>
      </c>
      <c r="D54" s="118" t="s">
        <v>1630</v>
      </c>
      <c r="E54" s="147" t="str">
        <f>HYPERLINK("https://www.vectorwealth.com","https://www.vectorwealth.com")</f>
        <v>https://www.vectorwealth.com</v>
      </c>
      <c r="F54" s="149" t="str">
        <f>HYPERLINK("http://www.boulaygroup.com/","http://www.boulaygroup.com/")</f>
        <v>http://www.boulaygroup.com/</v>
      </c>
      <c r="G54" s="78"/>
    </row>
    <row r="55" spans="1:7" ht="19.5" x14ac:dyDescent="0.4">
      <c r="A55" s="78"/>
      <c r="B55" s="117" t="s">
        <v>1631</v>
      </c>
      <c r="C55" s="118" t="s">
        <v>2116</v>
      </c>
      <c r="D55" s="118" t="s">
        <v>1623</v>
      </c>
      <c r="E55" s="118" t="s">
        <v>1615</v>
      </c>
      <c r="F55" s="149" t="str">
        <f>HYPERLINK("http://www.boulaygroup.com","http://www.boulaygroup.com")</f>
        <v>http://www.boulaygroup.com</v>
      </c>
      <c r="G55" s="78"/>
    </row>
    <row r="56" spans="1:7" ht="19.5" x14ac:dyDescent="0.4">
      <c r="A56" s="78"/>
      <c r="B56" s="117" t="s">
        <v>1632</v>
      </c>
      <c r="C56" s="118" t="s">
        <v>1633</v>
      </c>
      <c r="D56" s="118" t="s">
        <v>1634</v>
      </c>
      <c r="E56" s="118" t="s">
        <v>1635</v>
      </c>
      <c r="F56" s="119" t="s">
        <v>1636</v>
      </c>
      <c r="G56" s="78"/>
    </row>
    <row r="57" spans="1:7" ht="19.5" x14ac:dyDescent="0.4">
      <c r="A57" s="78"/>
      <c r="B57" s="124" t="s">
        <v>1637</v>
      </c>
      <c r="C57" s="125" t="s">
        <v>1626</v>
      </c>
      <c r="D57" s="125" t="s">
        <v>1638</v>
      </c>
      <c r="E57" s="125" t="s">
        <v>1623</v>
      </c>
      <c r="F57" s="126" t="s">
        <v>1639</v>
      </c>
      <c r="G57" s="78"/>
    </row>
    <row r="58" spans="1:7" ht="16.5" x14ac:dyDescent="0.35">
      <c r="A58" s="78"/>
      <c r="B58" s="127"/>
      <c r="C58" s="118"/>
      <c r="D58" s="118"/>
      <c r="E58" s="118"/>
      <c r="F58" s="118"/>
      <c r="G58" s="78"/>
    </row>
    <row r="59" spans="1:7" ht="22.5" x14ac:dyDescent="0.45">
      <c r="A59" s="78"/>
      <c r="B59" s="146" t="s">
        <v>1640</v>
      </c>
      <c r="C59" s="118"/>
      <c r="D59" s="118"/>
      <c r="E59" s="118"/>
      <c r="F59" s="118"/>
      <c r="G59" s="78"/>
    </row>
    <row r="60" spans="1:7" ht="19.5" x14ac:dyDescent="0.4">
      <c r="A60" s="78"/>
      <c r="B60" s="129" t="s">
        <v>1641</v>
      </c>
      <c r="C60" s="130" t="s">
        <v>1642</v>
      </c>
      <c r="D60" s="130" t="s">
        <v>1643</v>
      </c>
      <c r="E60" s="130" t="s">
        <v>1642</v>
      </c>
      <c r="F60" s="131" t="s">
        <v>1642</v>
      </c>
      <c r="G60" s="78"/>
    </row>
    <row r="61" spans="1:7" ht="19.5" x14ac:dyDescent="0.4">
      <c r="A61" s="78"/>
      <c r="B61" s="117" t="s">
        <v>1644</v>
      </c>
      <c r="C61" s="143" t="str">
        <f>HYPERLINK("https://www.examplebusiness.com/contact/","https://www.examplebusiness.com/contact/")</f>
        <v>https://www.examplebusiness.com/contact/</v>
      </c>
      <c r="D61" s="143" t="str">
        <f>HYPERLINK("https://www.silveroakwealth.com/about-silveroak","https://www.silveroakwealth.com/about-silveroak")</f>
        <v>https://www.silveroakwealth.com/about-silveroak</v>
      </c>
      <c r="E61" s="143" t="str">
        <f>HYPERLINK("https://www.vectorwealth.com/client","https://www.vectorwealth.com/client")</f>
        <v>https://www.vectorwealth.com/client</v>
      </c>
      <c r="F61" s="122" t="str">
        <f>HYPERLINK("https://www.boulaygroup.com/Knowledge/Articles/entryid/211/accounting-for-contingent-earn-outs-are-you-recording-yours-properly","https://www.boulaygroup.com/Knowledge/Articles/entryid/211/accounting-for-contingent-earn-outs-are-you-recording-yours-properly")</f>
        <v>https://www.boulaygroup.com/Knowledge/Articles/entryid/211/accounting-for-contingent-earn-outs-are-you-recording-yours-properly</v>
      </c>
      <c r="G61" s="78"/>
    </row>
    <row r="62" spans="1:7" ht="19.5" x14ac:dyDescent="0.4">
      <c r="A62" s="78"/>
      <c r="B62" s="117" t="s">
        <v>1645</v>
      </c>
      <c r="C62" s="120" t="s">
        <v>1565</v>
      </c>
      <c r="D62" s="120" t="s">
        <v>1565</v>
      </c>
      <c r="E62" s="143" t="str">
        <f>HYPERLINK("https://www.vectorwealth.com/vector-u/pre-retirement-workshop-2020q1","https://www.vectorwealth.com/vector-u/pre-retirement-workshop-2020q1")</f>
        <v>https://www.vectorwealth.com/vector-u/pre-retirement-workshop-2020q1</v>
      </c>
      <c r="F62" s="122" t="str">
        <f>HYPERLINK("https://www.boulaygroup.com/Knowledge/Articles/entryid/475/irs-regs-detail-how-businesses-can-aggregate-for-the-pass-through-income-deduction","https://www.boulaygroup.com/Knowledge/Articles/entryid/475/irs-regs-detail-how-businesses-can-aggregate-for-the-pass-through-income-deduction")</f>
        <v>https://www.boulaygroup.com/Knowledge/Articles/entryid/475/irs-regs-detail-how-businesses-can-aggregate-for-the-pass-through-income-deduction</v>
      </c>
      <c r="G62" s="78"/>
    </row>
    <row r="63" spans="1:7" ht="19.5" x14ac:dyDescent="0.4">
      <c r="A63" s="78"/>
      <c r="B63" s="117" t="s">
        <v>1646</v>
      </c>
      <c r="C63" s="120" t="s">
        <v>1565</v>
      </c>
      <c r="D63" s="120" t="s">
        <v>1565</v>
      </c>
      <c r="E63" s="120" t="s">
        <v>1565</v>
      </c>
      <c r="F63" s="150" t="s">
        <v>1565</v>
      </c>
      <c r="G63" s="78"/>
    </row>
    <row r="64" spans="1:7" ht="19.5" x14ac:dyDescent="0.4">
      <c r="A64" s="78"/>
      <c r="B64" s="117" t="s">
        <v>1647</v>
      </c>
      <c r="C64" s="120" t="s">
        <v>1565</v>
      </c>
      <c r="D64" s="120" t="s">
        <v>1565</v>
      </c>
      <c r="E64" s="120" t="s">
        <v>1565</v>
      </c>
      <c r="F64" s="122" t="str">
        <f>HYPERLINK("https://www.boulaygroup.com/News-Events/News/entryid/485/boulay-named-a-2018-best-of-the-best-firm-by-inside-public-accounting","https://www.boulaygroup.com/News-Events/News/entryid/485/boulay-named-a-2018-best-of-the-best-firm-by-inside-public-accounting")</f>
        <v>https://www.boulaygroup.com/News-Events/News/entryid/485/boulay-named-a-2018-best-of-the-best-firm-by-inside-public-accounting</v>
      </c>
      <c r="G64" s="78"/>
    </row>
    <row r="65" spans="1:7" ht="19.5" x14ac:dyDescent="0.4">
      <c r="A65" s="78"/>
      <c r="B65" s="117" t="s">
        <v>1648</v>
      </c>
      <c r="C65" s="120" t="s">
        <v>1565</v>
      </c>
      <c r="D65" s="120" t="s">
        <v>1565</v>
      </c>
      <c r="E65" s="120" t="s">
        <v>1565</v>
      </c>
      <c r="F65" s="150" t="s">
        <v>1565</v>
      </c>
      <c r="G65" s="78"/>
    </row>
    <row r="66" spans="1:7" ht="16.5" x14ac:dyDescent="0.35">
      <c r="A66" s="78"/>
      <c r="B66" s="133"/>
      <c r="C66" s="125"/>
      <c r="D66" s="125"/>
      <c r="E66" s="125"/>
      <c r="F66" s="126"/>
      <c r="G66" s="78"/>
    </row>
    <row r="67" spans="1:7" ht="16.5" x14ac:dyDescent="0.35">
      <c r="A67" s="78"/>
      <c r="B67" s="127"/>
      <c r="C67" s="118"/>
      <c r="D67" s="118"/>
      <c r="E67" s="118"/>
      <c r="F67" s="118"/>
      <c r="G67" s="78"/>
    </row>
    <row r="68" spans="1:7" ht="22.5" x14ac:dyDescent="0.45">
      <c r="A68" s="78"/>
      <c r="B68" s="146" t="s">
        <v>1649</v>
      </c>
      <c r="C68" s="118"/>
      <c r="D68" s="118"/>
      <c r="E68" s="118"/>
      <c r="F68" s="118"/>
      <c r="G68" s="78"/>
    </row>
    <row r="69" spans="1:7" ht="19.5" x14ac:dyDescent="0.4">
      <c r="A69" s="78"/>
      <c r="B69" s="129" t="s">
        <v>1650</v>
      </c>
      <c r="C69" s="130" t="s">
        <v>1651</v>
      </c>
      <c r="D69" s="130" t="s">
        <v>1565</v>
      </c>
      <c r="E69" s="130" t="s">
        <v>1652</v>
      </c>
      <c r="F69" s="131" t="s">
        <v>1653</v>
      </c>
      <c r="G69" s="78"/>
    </row>
    <row r="70" spans="1:7" ht="19.5" x14ac:dyDescent="0.4">
      <c r="A70" s="78"/>
      <c r="B70" s="117" t="s">
        <v>1654</v>
      </c>
      <c r="C70" s="118">
        <v>49</v>
      </c>
      <c r="D70" s="118" t="s">
        <v>1565</v>
      </c>
      <c r="E70" s="118">
        <v>87</v>
      </c>
      <c r="F70" s="119">
        <v>172</v>
      </c>
      <c r="G70" s="78"/>
    </row>
    <row r="71" spans="1:7" ht="19.5" x14ac:dyDescent="0.4">
      <c r="A71" s="78"/>
      <c r="B71" s="117" t="s">
        <v>1655</v>
      </c>
      <c r="C71" s="118" t="s">
        <v>1656</v>
      </c>
      <c r="D71" s="118" t="s">
        <v>1565</v>
      </c>
      <c r="E71" s="118" t="s">
        <v>1657</v>
      </c>
      <c r="F71" s="119" t="s">
        <v>1658</v>
      </c>
      <c r="G71" s="78"/>
    </row>
    <row r="72" spans="1:7" ht="19.5" x14ac:dyDescent="0.4">
      <c r="A72" s="78"/>
      <c r="B72" s="117" t="s">
        <v>1659</v>
      </c>
      <c r="C72" s="151">
        <v>0.84</v>
      </c>
      <c r="D72" s="151" t="s">
        <v>1565</v>
      </c>
      <c r="E72" s="151">
        <v>0.6</v>
      </c>
      <c r="F72" s="152">
        <v>0.28999999999999998</v>
      </c>
      <c r="G72" s="78"/>
    </row>
    <row r="73" spans="1:7" ht="19.5" x14ac:dyDescent="0.4">
      <c r="A73" s="78"/>
      <c r="B73" s="124" t="s">
        <v>1660</v>
      </c>
      <c r="C73" s="153">
        <v>0.82</v>
      </c>
      <c r="D73" s="153" t="s">
        <v>1565</v>
      </c>
      <c r="E73" s="153">
        <v>0.87</v>
      </c>
      <c r="F73" s="154">
        <v>0.59</v>
      </c>
      <c r="G73" s="78"/>
    </row>
    <row r="74" spans="1:7" ht="16.5" x14ac:dyDescent="0.35">
      <c r="A74" s="78"/>
      <c r="B74" s="20"/>
      <c r="C74" s="34"/>
      <c r="D74" s="34"/>
      <c r="E74" s="34"/>
      <c r="F74" s="34"/>
      <c r="G74" s="78"/>
    </row>
  </sheetData>
  <hyperlinks>
    <hyperlink ref="C53" r:id="rId1" display="www.ABCfinancial.net" xr:uid="{00000000-0004-0000-0700-000000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X32"/>
  <sheetViews>
    <sheetView showGridLines="0" workbookViewId="0">
      <pane xSplit="3" ySplit="2" topLeftCell="D3" activePane="bottomRight" state="frozen"/>
      <selection pane="topRight" activeCell="D1" sqref="D1"/>
      <selection pane="bottomLeft" activeCell="A3" sqref="A3"/>
      <selection pane="bottomRight" activeCell="D3" sqref="D3"/>
    </sheetView>
  </sheetViews>
  <sheetFormatPr defaultColWidth="12.5703125" defaultRowHeight="15.75" customHeight="1" x14ac:dyDescent="0.2"/>
  <cols>
    <col min="1" max="1" width="7.7109375" customWidth="1"/>
    <col min="2" max="2" width="16.42578125" customWidth="1"/>
    <col min="3" max="3" width="4.140625" customWidth="1"/>
    <col min="4" max="4" width="2.7109375" customWidth="1"/>
    <col min="5" max="5" width="21.28515625" customWidth="1"/>
    <col min="6" max="6" width="2.140625" customWidth="1"/>
    <col min="7" max="7" width="21.28515625" customWidth="1"/>
    <col min="8" max="8" width="2.7109375" customWidth="1"/>
    <col min="9" max="9" width="21.28515625" customWidth="1"/>
    <col min="10" max="10" width="2.140625" customWidth="1"/>
    <col min="11" max="11" width="21.28515625" customWidth="1"/>
    <col min="12" max="12" width="2.7109375" customWidth="1"/>
    <col min="13" max="13" width="21.28515625" customWidth="1"/>
    <col min="14" max="14" width="2.140625" customWidth="1"/>
    <col min="15" max="15" width="21.28515625" customWidth="1"/>
    <col min="16" max="16" width="2.7109375" customWidth="1"/>
    <col min="17" max="17" width="21.28515625" customWidth="1"/>
    <col min="18" max="18" width="2.140625" customWidth="1"/>
    <col min="19" max="19" width="21.28515625" customWidth="1"/>
    <col min="20" max="20" width="2.7109375" customWidth="1"/>
    <col min="21" max="21" width="21.28515625" customWidth="1"/>
    <col min="22" max="22" width="2.140625" customWidth="1"/>
    <col min="23" max="23" width="21.28515625" customWidth="1"/>
    <col min="24" max="24" width="2.7109375" customWidth="1"/>
  </cols>
  <sheetData>
    <row r="1" spans="1:24" ht="30" customHeight="1" x14ac:dyDescent="0.55000000000000004">
      <c r="A1" s="283" t="s">
        <v>1661</v>
      </c>
      <c r="B1" s="260"/>
      <c r="C1" s="260"/>
      <c r="D1" s="156"/>
      <c r="E1" s="284" t="str">
        <f>HYPERLINK("https://www.examplebusiness.com/","https://www.examplebusiness.com/")</f>
        <v>https://www.examplebusiness.com/</v>
      </c>
      <c r="F1" s="260"/>
      <c r="G1" s="260"/>
      <c r="H1" s="157"/>
      <c r="I1" s="285" t="str">
        <f>HYPERLINK("https://www.examplebusiness.com/services-new","https://www.examplebusiness.com/services-new")</f>
        <v>https://www.examplebusiness.com/services-new</v>
      </c>
      <c r="J1" s="260"/>
      <c r="K1" s="260"/>
      <c r="L1" s="157"/>
      <c r="M1" s="285" t="str">
        <f>HYPERLINK("https://www.examplebusiness.com/resource-center/retirement","https://www.examplebusiness.com/resource-center/retirement")</f>
        <v>https://www.examplebusiness.com/resource-center/retirement</v>
      </c>
      <c r="N1" s="260"/>
      <c r="O1" s="260"/>
      <c r="P1" s="157"/>
      <c r="Q1" s="285" t="str">
        <f>HYPERLINK("https://www.examplebusiness.com/resource-center/investment","https://www.examplebusiness.com/resource-center/investment")</f>
        <v>https://www.examplebusiness.com/resource-center/investment</v>
      </c>
      <c r="R1" s="260"/>
      <c r="S1" s="260"/>
      <c r="T1" s="157"/>
      <c r="U1" s="285" t="str">
        <f>HYPERLINK("https://www.examplebusiness.com/resource-center/estate","https://www.examplebusiness.com/resource-center/estate")</f>
        <v>https://www.examplebusiness.com/resource-center/estate</v>
      </c>
      <c r="V1" s="260"/>
      <c r="W1" s="260"/>
      <c r="X1" s="156"/>
    </row>
    <row r="2" spans="1:24" ht="28.5" x14ac:dyDescent="0.55000000000000004">
      <c r="A2" s="260"/>
      <c r="B2" s="260"/>
      <c r="C2" s="260"/>
      <c r="D2" s="156"/>
      <c r="E2" s="158"/>
      <c r="F2" s="158"/>
      <c r="G2" s="158"/>
      <c r="H2" s="156"/>
      <c r="I2" s="159"/>
      <c r="J2" s="159"/>
      <c r="K2" s="159"/>
      <c r="L2" s="156"/>
      <c r="M2" s="159"/>
      <c r="N2" s="159"/>
      <c r="O2" s="159"/>
      <c r="P2" s="156"/>
      <c r="Q2" s="159"/>
      <c r="R2" s="159"/>
      <c r="S2" s="159"/>
      <c r="T2" s="156"/>
      <c r="U2" s="159"/>
      <c r="V2" s="159"/>
      <c r="W2" s="159"/>
      <c r="X2" s="156"/>
    </row>
    <row r="3" spans="1:24" ht="22.5" x14ac:dyDescent="0.45">
      <c r="A3" s="160"/>
      <c r="B3" s="160"/>
      <c r="C3" s="160"/>
      <c r="D3" s="161"/>
      <c r="E3" s="161"/>
      <c r="F3" s="161"/>
      <c r="G3" s="161"/>
      <c r="H3" s="161"/>
      <c r="I3" s="161"/>
      <c r="J3" s="161"/>
      <c r="K3" s="20"/>
      <c r="L3" s="161"/>
      <c r="M3" s="20"/>
      <c r="N3" s="161"/>
      <c r="O3" s="161"/>
      <c r="P3" s="161"/>
      <c r="Q3" s="161"/>
      <c r="R3" s="161"/>
      <c r="S3" s="161"/>
      <c r="T3" s="161"/>
      <c r="U3" s="161"/>
      <c r="V3" s="161"/>
      <c r="W3" s="161"/>
      <c r="X3" s="161"/>
    </row>
    <row r="4" spans="1:24" ht="22.5" x14ac:dyDescent="0.45">
      <c r="A4" s="160"/>
      <c r="B4" s="162" t="s">
        <v>1662</v>
      </c>
      <c r="C4" s="163"/>
      <c r="D4" s="164"/>
      <c r="E4" s="164"/>
      <c r="F4" s="164"/>
      <c r="G4" s="164"/>
      <c r="H4" s="164"/>
      <c r="I4" s="164"/>
      <c r="J4" s="164"/>
      <c r="K4" s="164"/>
      <c r="L4" s="164"/>
      <c r="M4" s="164"/>
      <c r="N4" s="164"/>
      <c r="O4" s="164"/>
      <c r="P4" s="164"/>
      <c r="Q4" s="164"/>
      <c r="R4" s="164"/>
      <c r="S4" s="164"/>
      <c r="T4" s="164"/>
      <c r="U4" s="164"/>
      <c r="V4" s="164"/>
      <c r="W4" s="164"/>
      <c r="X4" s="165"/>
    </row>
    <row r="5" spans="1:24" ht="19.5" x14ac:dyDescent="0.4">
      <c r="A5" s="166"/>
      <c r="B5" s="167"/>
      <c r="C5" s="168"/>
      <c r="D5" s="20"/>
      <c r="E5" s="169"/>
      <c r="F5" s="169"/>
      <c r="G5" s="169"/>
      <c r="H5" s="20"/>
      <c r="I5" s="20"/>
      <c r="J5" s="20"/>
      <c r="K5" s="20"/>
      <c r="L5" s="20"/>
      <c r="M5" s="20"/>
      <c r="N5" s="20"/>
      <c r="O5" s="20"/>
      <c r="P5" s="20"/>
      <c r="Q5" s="20"/>
      <c r="R5" s="20"/>
      <c r="S5" s="20"/>
      <c r="T5" s="20"/>
      <c r="U5" s="20"/>
      <c r="V5" s="20"/>
      <c r="W5" s="20"/>
      <c r="X5" s="20"/>
    </row>
    <row r="6" spans="1:24" ht="19.5" x14ac:dyDescent="0.4">
      <c r="A6" s="170"/>
      <c r="B6" s="167" t="s">
        <v>1663</v>
      </c>
      <c r="C6" s="171"/>
      <c r="D6" s="172"/>
      <c r="E6" s="286" t="s">
        <v>182</v>
      </c>
      <c r="F6" s="260"/>
      <c r="G6" s="260"/>
      <c r="H6" s="173"/>
      <c r="I6" s="286" t="s">
        <v>172</v>
      </c>
      <c r="J6" s="260"/>
      <c r="K6" s="260"/>
      <c r="L6" s="173"/>
      <c r="M6" s="286" t="s">
        <v>270</v>
      </c>
      <c r="N6" s="260"/>
      <c r="O6" s="260"/>
      <c r="P6" s="173"/>
      <c r="Q6" s="286" t="s">
        <v>385</v>
      </c>
      <c r="R6" s="260"/>
      <c r="S6" s="260"/>
      <c r="T6" s="173"/>
      <c r="U6" s="286" t="s">
        <v>347</v>
      </c>
      <c r="V6" s="260"/>
      <c r="W6" s="260"/>
      <c r="X6" s="172"/>
    </row>
    <row r="7" spans="1:24" ht="19.5" x14ac:dyDescent="0.4">
      <c r="A7" s="166"/>
      <c r="B7" s="167" t="s">
        <v>1664</v>
      </c>
      <c r="C7" s="168"/>
      <c r="D7" s="20"/>
      <c r="E7" s="288" t="s">
        <v>2049</v>
      </c>
      <c r="F7" s="260"/>
      <c r="G7" s="260"/>
      <c r="H7" s="20"/>
      <c r="I7" s="288" t="s">
        <v>2478</v>
      </c>
      <c r="J7" s="260"/>
      <c r="K7" s="260"/>
      <c r="L7" s="20"/>
      <c r="M7" s="288" t="s">
        <v>2378</v>
      </c>
      <c r="N7" s="260"/>
      <c r="O7" s="260"/>
      <c r="P7" s="20"/>
      <c r="Q7" s="288" t="s">
        <v>2225</v>
      </c>
      <c r="R7" s="260"/>
      <c r="S7" s="260"/>
      <c r="T7" s="20"/>
      <c r="U7" s="288" t="s">
        <v>2127</v>
      </c>
      <c r="V7" s="260"/>
      <c r="W7" s="260"/>
      <c r="X7" s="20"/>
    </row>
    <row r="8" spans="1:24" ht="19.5" x14ac:dyDescent="0.4">
      <c r="A8" s="166"/>
      <c r="B8" s="167" t="s">
        <v>1665</v>
      </c>
      <c r="C8" s="168"/>
      <c r="D8" s="20"/>
      <c r="E8" s="287" t="s">
        <v>692</v>
      </c>
      <c r="F8" s="260"/>
      <c r="G8" s="260"/>
      <c r="H8" s="174"/>
      <c r="I8" s="287"/>
      <c r="J8" s="260"/>
      <c r="K8" s="260"/>
      <c r="L8" s="174"/>
      <c r="M8" s="287"/>
      <c r="N8" s="260"/>
      <c r="O8" s="260"/>
      <c r="P8" s="174"/>
      <c r="Q8" s="287"/>
      <c r="R8" s="260"/>
      <c r="S8" s="260"/>
      <c r="T8" s="174"/>
      <c r="U8" s="287"/>
      <c r="V8" s="260"/>
      <c r="W8" s="260"/>
      <c r="X8" s="20"/>
    </row>
    <row r="9" spans="1:24" ht="19.5" x14ac:dyDescent="0.4">
      <c r="A9" s="166"/>
      <c r="B9" s="167" t="s">
        <v>1666</v>
      </c>
      <c r="C9" s="166"/>
      <c r="D9" s="175"/>
      <c r="E9" s="287"/>
      <c r="F9" s="260"/>
      <c r="G9" s="260"/>
      <c r="H9" s="176"/>
      <c r="I9" s="287"/>
      <c r="J9" s="260"/>
      <c r="K9" s="260"/>
      <c r="L9" s="176"/>
      <c r="M9" s="287" t="s">
        <v>828</v>
      </c>
      <c r="N9" s="260"/>
      <c r="O9" s="260"/>
      <c r="P9" s="176"/>
      <c r="Q9" s="287" t="s">
        <v>1023</v>
      </c>
      <c r="R9" s="260"/>
      <c r="S9" s="260"/>
      <c r="T9" s="176"/>
      <c r="U9" s="287" t="s">
        <v>825</v>
      </c>
      <c r="V9" s="260"/>
      <c r="W9" s="260"/>
      <c r="X9" s="175"/>
    </row>
    <row r="10" spans="1:24" ht="19.5" x14ac:dyDescent="0.4">
      <c r="A10" s="166"/>
      <c r="B10" s="167" t="s">
        <v>1667</v>
      </c>
      <c r="C10" s="166"/>
      <c r="D10" s="175"/>
      <c r="E10" s="288" t="s">
        <v>2050</v>
      </c>
      <c r="F10" s="260"/>
      <c r="G10" s="260"/>
      <c r="H10" s="175"/>
      <c r="I10" s="288" t="s">
        <v>1506</v>
      </c>
      <c r="J10" s="260"/>
      <c r="K10" s="260"/>
      <c r="L10" s="175"/>
      <c r="M10" s="288" t="s">
        <v>1307</v>
      </c>
      <c r="N10" s="260"/>
      <c r="O10" s="260"/>
      <c r="P10" s="175"/>
      <c r="Q10" s="288" t="s">
        <v>1024</v>
      </c>
      <c r="R10" s="260"/>
      <c r="S10" s="260"/>
      <c r="T10" s="175"/>
      <c r="U10" s="288" t="s">
        <v>830</v>
      </c>
      <c r="V10" s="260"/>
      <c r="W10" s="260"/>
      <c r="X10" s="175"/>
    </row>
    <row r="11" spans="1:24" ht="19.5" x14ac:dyDescent="0.4">
      <c r="A11" s="170"/>
      <c r="B11" s="167" t="s">
        <v>1668</v>
      </c>
      <c r="C11" s="170"/>
      <c r="D11" s="66"/>
      <c r="E11" s="177">
        <v>283</v>
      </c>
      <c r="F11" s="33"/>
      <c r="G11" s="33"/>
      <c r="H11" s="66"/>
      <c r="I11" s="177">
        <v>840</v>
      </c>
      <c r="J11" s="33"/>
      <c r="K11" s="33"/>
      <c r="L11" s="66"/>
      <c r="M11" s="177">
        <v>988</v>
      </c>
      <c r="N11" s="33"/>
      <c r="O11" s="33"/>
      <c r="P11" s="66"/>
      <c r="Q11" s="177">
        <v>967</v>
      </c>
      <c r="R11" s="33"/>
      <c r="S11" s="33"/>
      <c r="T11" s="66"/>
      <c r="U11" s="177">
        <v>873</v>
      </c>
      <c r="V11" s="33"/>
      <c r="W11" s="33"/>
      <c r="X11" s="66"/>
    </row>
    <row r="12" spans="1:24" ht="16.5" x14ac:dyDescent="0.35">
      <c r="A12" s="168"/>
      <c r="B12" s="168"/>
      <c r="C12" s="168"/>
      <c r="D12" s="20"/>
      <c r="E12" s="178"/>
      <c r="F12" s="20"/>
      <c r="G12" s="20"/>
      <c r="H12" s="20"/>
      <c r="I12" s="20"/>
      <c r="J12" s="20"/>
      <c r="K12" s="20"/>
      <c r="L12" s="20"/>
      <c r="M12" s="20"/>
      <c r="N12" s="20"/>
      <c r="O12" s="20"/>
      <c r="P12" s="20"/>
      <c r="Q12" s="20"/>
      <c r="R12" s="20"/>
      <c r="S12" s="20"/>
      <c r="T12" s="20"/>
      <c r="U12" s="20"/>
      <c r="V12" s="20"/>
      <c r="W12" s="20"/>
      <c r="X12" s="20"/>
    </row>
    <row r="13" spans="1:24" ht="22.5" x14ac:dyDescent="0.45">
      <c r="A13" s="179"/>
      <c r="B13" s="162" t="s">
        <v>1669</v>
      </c>
      <c r="C13" s="180"/>
      <c r="D13" s="181"/>
      <c r="E13" s="181"/>
      <c r="F13" s="181"/>
      <c r="G13" s="181"/>
      <c r="H13" s="181"/>
      <c r="I13" s="181"/>
      <c r="J13" s="181"/>
      <c r="K13" s="181"/>
      <c r="L13" s="181"/>
      <c r="M13" s="181"/>
      <c r="N13" s="181"/>
      <c r="O13" s="181"/>
      <c r="P13" s="181"/>
      <c r="Q13" s="181"/>
      <c r="R13" s="181"/>
      <c r="S13" s="181"/>
      <c r="T13" s="181"/>
      <c r="U13" s="181"/>
      <c r="V13" s="181"/>
      <c r="W13" s="181"/>
      <c r="X13" s="182"/>
    </row>
    <row r="14" spans="1:24" ht="19.5" x14ac:dyDescent="0.4">
      <c r="A14" s="168"/>
      <c r="B14" s="166"/>
      <c r="C14" s="168"/>
      <c r="D14" s="20"/>
      <c r="E14" s="183"/>
      <c r="F14" s="183"/>
      <c r="G14" s="183"/>
      <c r="H14" s="183"/>
      <c r="I14" s="183"/>
      <c r="J14" s="20"/>
      <c r="K14" s="20"/>
      <c r="L14" s="183"/>
      <c r="M14" s="20"/>
      <c r="N14" s="20"/>
      <c r="O14" s="20"/>
      <c r="P14" s="183"/>
      <c r="Q14" s="20"/>
      <c r="R14" s="20"/>
      <c r="S14" s="20"/>
      <c r="T14" s="183"/>
      <c r="U14" s="20"/>
      <c r="V14" s="183"/>
      <c r="W14" s="20"/>
      <c r="X14" s="183"/>
    </row>
    <row r="15" spans="1:24" ht="19.5" x14ac:dyDescent="0.4">
      <c r="A15" s="168"/>
      <c r="B15" s="170" t="s">
        <v>1670</v>
      </c>
      <c r="C15" s="168"/>
      <c r="D15" s="184"/>
      <c r="E15" s="185" t="s">
        <v>1671</v>
      </c>
      <c r="F15" s="186"/>
      <c r="G15" s="187" t="s">
        <v>1672</v>
      </c>
      <c r="H15" s="20"/>
      <c r="I15" s="185" t="s">
        <v>1671</v>
      </c>
      <c r="J15" s="186"/>
      <c r="K15" s="187" t="s">
        <v>1672</v>
      </c>
      <c r="L15" s="20"/>
      <c r="M15" s="185" t="s">
        <v>1671</v>
      </c>
      <c r="N15" s="186"/>
      <c r="O15" s="187" t="s">
        <v>1672</v>
      </c>
      <c r="P15" s="20"/>
      <c r="Q15" s="185" t="s">
        <v>1671</v>
      </c>
      <c r="R15" s="186"/>
      <c r="S15" s="187" t="s">
        <v>1672</v>
      </c>
      <c r="T15" s="20"/>
      <c r="U15" s="185" t="s">
        <v>1671</v>
      </c>
      <c r="V15" s="186"/>
      <c r="W15" s="187" t="s">
        <v>1672</v>
      </c>
      <c r="X15" s="20"/>
    </row>
    <row r="16" spans="1:24" ht="30" customHeight="1" x14ac:dyDescent="0.4">
      <c r="A16" s="168"/>
      <c r="B16" s="168"/>
      <c r="C16" s="168"/>
      <c r="D16" s="184"/>
      <c r="E16" s="188" t="s">
        <v>1673</v>
      </c>
      <c r="F16" s="186"/>
      <c r="G16" s="188" t="s">
        <v>1673</v>
      </c>
      <c r="H16" s="20"/>
      <c r="I16" s="188" t="s">
        <v>1673</v>
      </c>
      <c r="J16" s="186"/>
      <c r="K16" s="188" t="s">
        <v>1673</v>
      </c>
      <c r="L16" s="20"/>
      <c r="M16" s="188" t="s">
        <v>1673</v>
      </c>
      <c r="N16" s="186"/>
      <c r="O16" s="188" t="s">
        <v>1673</v>
      </c>
      <c r="P16" s="20"/>
      <c r="Q16" s="188" t="s">
        <v>1673</v>
      </c>
      <c r="R16" s="186"/>
      <c r="S16" s="188" t="s">
        <v>1673</v>
      </c>
      <c r="T16" s="20"/>
      <c r="U16" s="188" t="s">
        <v>1673</v>
      </c>
      <c r="V16" s="186"/>
      <c r="W16" s="188" t="s">
        <v>1673</v>
      </c>
      <c r="X16" s="20"/>
    </row>
    <row r="17" spans="1:24" ht="19.5" x14ac:dyDescent="0.4">
      <c r="A17" s="168"/>
      <c r="B17" s="168"/>
      <c r="C17" s="168"/>
      <c r="D17" s="184"/>
      <c r="E17" s="186"/>
      <c r="F17" s="186"/>
      <c r="G17" s="186"/>
      <c r="H17" s="20"/>
      <c r="I17" s="186"/>
      <c r="J17" s="186"/>
      <c r="K17" s="186"/>
      <c r="L17" s="20"/>
      <c r="M17" s="186"/>
      <c r="N17" s="186"/>
      <c r="O17" s="186"/>
      <c r="P17" s="20"/>
      <c r="Q17" s="186"/>
      <c r="R17" s="186"/>
      <c r="S17" s="186"/>
      <c r="T17" s="20"/>
      <c r="U17" s="186"/>
      <c r="V17" s="186"/>
      <c r="W17" s="186"/>
      <c r="X17" s="20"/>
    </row>
    <row r="18" spans="1:24" ht="19.5" x14ac:dyDescent="0.4">
      <c r="A18" s="168"/>
      <c r="B18" s="168"/>
      <c r="C18" s="168"/>
      <c r="D18" s="184"/>
      <c r="E18" s="187" t="s">
        <v>1674</v>
      </c>
      <c r="F18" s="186"/>
      <c r="G18" s="187" t="s">
        <v>1675</v>
      </c>
      <c r="H18" s="20"/>
      <c r="I18" s="187" t="s">
        <v>1674</v>
      </c>
      <c r="J18" s="186"/>
      <c r="K18" s="187" t="s">
        <v>1675</v>
      </c>
      <c r="L18" s="20"/>
      <c r="M18" s="187" t="s">
        <v>1674</v>
      </c>
      <c r="N18" s="186"/>
      <c r="O18" s="187" t="s">
        <v>1675</v>
      </c>
      <c r="P18" s="20"/>
      <c r="Q18" s="187" t="s">
        <v>1674</v>
      </c>
      <c r="R18" s="186"/>
      <c r="S18" s="187" t="s">
        <v>1675</v>
      </c>
      <c r="T18" s="20"/>
      <c r="U18" s="187" t="s">
        <v>1674</v>
      </c>
      <c r="V18" s="186"/>
      <c r="W18" s="187" t="s">
        <v>1675</v>
      </c>
      <c r="X18" s="20"/>
    </row>
    <row r="19" spans="1:24" ht="30" customHeight="1" x14ac:dyDescent="0.4">
      <c r="A19" s="168"/>
      <c r="B19" s="168"/>
      <c r="C19" s="168"/>
      <c r="D19" s="184"/>
      <c r="E19" s="188" t="s">
        <v>1673</v>
      </c>
      <c r="F19" s="186"/>
      <c r="G19" s="188" t="s">
        <v>1673</v>
      </c>
      <c r="H19" s="20"/>
      <c r="I19" s="188" t="s">
        <v>1673</v>
      </c>
      <c r="J19" s="186"/>
      <c r="K19" s="188" t="s">
        <v>1673</v>
      </c>
      <c r="L19" s="20"/>
      <c r="M19" s="188" t="s">
        <v>1673</v>
      </c>
      <c r="N19" s="186"/>
      <c r="O19" s="188" t="s">
        <v>1673</v>
      </c>
      <c r="P19" s="20"/>
      <c r="Q19" s="188" t="s">
        <v>1673</v>
      </c>
      <c r="R19" s="186"/>
      <c r="S19" s="188" t="s">
        <v>1673</v>
      </c>
      <c r="T19" s="20"/>
      <c r="U19" s="188" t="s">
        <v>1673</v>
      </c>
      <c r="V19" s="186"/>
      <c r="W19" s="188" t="s">
        <v>1673</v>
      </c>
      <c r="X19" s="20"/>
    </row>
    <row r="20" spans="1:24" ht="19.5" x14ac:dyDescent="0.4">
      <c r="A20" s="168"/>
      <c r="B20" s="168"/>
      <c r="C20" s="168"/>
      <c r="D20" s="184"/>
      <c r="E20" s="189"/>
      <c r="F20" s="186"/>
      <c r="G20" s="189"/>
      <c r="H20" s="189"/>
      <c r="I20" s="189"/>
      <c r="J20" s="20"/>
      <c r="K20" s="20"/>
      <c r="L20" s="189"/>
      <c r="M20" s="20"/>
      <c r="N20" s="20"/>
      <c r="O20" s="20"/>
      <c r="P20" s="189"/>
      <c r="Q20" s="20"/>
      <c r="R20" s="20"/>
      <c r="S20" s="20"/>
      <c r="T20" s="189"/>
      <c r="U20" s="20"/>
      <c r="V20" s="189"/>
      <c r="W20" s="20"/>
      <c r="X20" s="189"/>
    </row>
    <row r="21" spans="1:24" ht="22.5" x14ac:dyDescent="0.45">
      <c r="A21" s="179"/>
      <c r="B21" s="162" t="s">
        <v>690</v>
      </c>
      <c r="C21" s="180"/>
      <c r="D21" s="181"/>
      <c r="E21" s="181"/>
      <c r="F21" s="181"/>
      <c r="G21" s="181"/>
      <c r="H21" s="181"/>
      <c r="I21" s="181"/>
      <c r="J21" s="181"/>
      <c r="K21" s="181"/>
      <c r="L21" s="181"/>
      <c r="M21" s="181"/>
      <c r="N21" s="181"/>
      <c r="O21" s="181"/>
      <c r="P21" s="181"/>
      <c r="Q21" s="181"/>
      <c r="R21" s="181"/>
      <c r="S21" s="181"/>
      <c r="T21" s="181"/>
      <c r="U21" s="181"/>
      <c r="V21" s="181"/>
      <c r="W21" s="181"/>
      <c r="X21" s="182"/>
    </row>
    <row r="22" spans="1:24" ht="16.5" x14ac:dyDescent="0.35">
      <c r="A22" s="168"/>
      <c r="B22" s="168"/>
      <c r="C22" s="168"/>
      <c r="D22" s="20"/>
      <c r="E22" s="178"/>
      <c r="F22" s="20"/>
      <c r="G22" s="20"/>
      <c r="H22" s="20"/>
      <c r="I22" s="20"/>
      <c r="J22" s="20"/>
      <c r="K22" s="20"/>
      <c r="L22" s="20"/>
      <c r="M22" s="20"/>
      <c r="N22" s="20"/>
      <c r="O22" s="20"/>
      <c r="P22" s="20"/>
      <c r="Q22" s="20"/>
      <c r="R22" s="20"/>
      <c r="S22" s="20"/>
      <c r="T22" s="20"/>
      <c r="U22" s="20"/>
      <c r="V22" s="20"/>
      <c r="W22" s="20"/>
      <c r="X22" s="20"/>
    </row>
    <row r="23" spans="1:24" ht="19.5" x14ac:dyDescent="0.4">
      <c r="A23" s="168"/>
      <c r="B23" s="167" t="s">
        <v>1668</v>
      </c>
      <c r="C23" s="166"/>
      <c r="D23" s="175"/>
      <c r="E23" s="190" t="s">
        <v>1676</v>
      </c>
      <c r="F23" s="191"/>
      <c r="G23" s="191"/>
      <c r="H23" s="191"/>
      <c r="I23" s="190" t="s">
        <v>1677</v>
      </c>
      <c r="J23" s="191"/>
      <c r="K23" s="191"/>
      <c r="L23" s="191"/>
      <c r="M23" s="190" t="s">
        <v>1678</v>
      </c>
      <c r="N23" s="191"/>
      <c r="O23" s="191"/>
      <c r="P23" s="191"/>
      <c r="Q23" s="190" t="s">
        <v>1679</v>
      </c>
      <c r="R23" s="191"/>
      <c r="S23" s="191"/>
      <c r="T23" s="191"/>
      <c r="U23" s="190" t="s">
        <v>1680</v>
      </c>
      <c r="V23" s="191"/>
      <c r="W23" s="191"/>
      <c r="X23" s="191"/>
    </row>
    <row r="24" spans="1:24" ht="16.5" x14ac:dyDescent="0.35">
      <c r="A24" s="168"/>
      <c r="B24" s="168"/>
      <c r="C24" s="168"/>
      <c r="D24" s="20"/>
      <c r="E24" s="178"/>
      <c r="F24" s="20"/>
      <c r="G24" s="20"/>
      <c r="H24" s="20"/>
      <c r="I24" s="178"/>
      <c r="J24" s="20"/>
      <c r="K24" s="20"/>
      <c r="L24" s="20"/>
      <c r="M24" s="178"/>
      <c r="N24" s="20"/>
      <c r="O24" s="20"/>
      <c r="P24" s="20"/>
      <c r="Q24" s="178"/>
      <c r="R24" s="20"/>
      <c r="S24" s="20"/>
      <c r="T24" s="20"/>
      <c r="U24" s="178"/>
      <c r="V24" s="20"/>
      <c r="W24" s="20"/>
      <c r="X24" s="20"/>
    </row>
    <row r="25" spans="1:24" ht="39" x14ac:dyDescent="0.4">
      <c r="A25" s="168"/>
      <c r="B25" s="167" t="s">
        <v>1681</v>
      </c>
      <c r="C25" s="168"/>
      <c r="D25" s="20"/>
      <c r="E25" s="192" t="s">
        <v>1682</v>
      </c>
      <c r="F25" s="193"/>
      <c r="G25" s="194" t="s">
        <v>690</v>
      </c>
      <c r="H25" s="20"/>
      <c r="I25" s="192" t="s">
        <v>1682</v>
      </c>
      <c r="J25" s="193"/>
      <c r="K25" s="194" t="s">
        <v>690</v>
      </c>
      <c r="L25" s="20"/>
      <c r="M25" s="192" t="s">
        <v>1682</v>
      </c>
      <c r="N25" s="193"/>
      <c r="O25" s="194" t="s">
        <v>690</v>
      </c>
      <c r="P25" s="20"/>
      <c r="Q25" s="192" t="s">
        <v>1682</v>
      </c>
      <c r="R25" s="193"/>
      <c r="S25" s="194" t="s">
        <v>690</v>
      </c>
      <c r="T25" s="20"/>
      <c r="U25" s="192" t="s">
        <v>1682</v>
      </c>
      <c r="V25" s="193"/>
      <c r="W25" s="194" t="s">
        <v>690</v>
      </c>
      <c r="X25" s="20"/>
    </row>
    <row r="26" spans="1:24" ht="117" x14ac:dyDescent="0.4">
      <c r="A26" s="168"/>
      <c r="B26" s="168"/>
      <c r="C26" s="168"/>
      <c r="D26" s="20"/>
      <c r="E26" s="195" t="str">
        <f>HYPERLINK("https://www.vectorwealth.com/","https://www.vectorwealth.com/")</f>
        <v>https://www.vectorwealth.com/</v>
      </c>
      <c r="F26" s="196"/>
      <c r="G26" s="197">
        <v>650</v>
      </c>
      <c r="H26" s="175"/>
      <c r="I26" s="198" t="str">
        <f>HYPERLINK("https://www.feeonlynetwork.com/mn-financial-planner/","https://www.feeonlynetwork.com/mn-financial-planner/")</f>
        <v>https://www.feeonlynetwork.com/mn-financial-planner/</v>
      </c>
      <c r="J26" s="196"/>
      <c r="K26" s="197">
        <v>2586</v>
      </c>
      <c r="L26" s="175"/>
      <c r="M26" s="198" t="str">
        <f>HYPERLINK("https://www.boulaygroup.com/services/wealth-management/employer-retirement-plans/","https://www.boulaygroup.com/services/wealth-management/employer-retirement-plans/")</f>
        <v>https://www.boulaygroup.com/services/wealth-management/employer-retirement-plans/</v>
      </c>
      <c r="N26" s="196"/>
      <c r="O26" s="199">
        <v>1209</v>
      </c>
      <c r="P26" s="175"/>
      <c r="Q26" s="198" t="str">
        <f>HYPERLINK("https://oppidan.com/","https://oppidan.com/")</f>
        <v>https://oppidan.com/</v>
      </c>
      <c r="R26" s="196"/>
      <c r="S26" s="199">
        <v>755</v>
      </c>
      <c r="T26" s="175"/>
      <c r="U26" s="198" t="str">
        <f>HYPERLINK("https://www.maslon.com/estate-planning","https://www.maslon.com/estate-planning")</f>
        <v>https://www.maslon.com/estate-planning</v>
      </c>
      <c r="V26" s="196"/>
      <c r="W26" s="199">
        <v>1060</v>
      </c>
      <c r="X26" s="20"/>
    </row>
    <row r="27" spans="1:24" ht="78" x14ac:dyDescent="0.4">
      <c r="A27" s="168"/>
      <c r="B27" s="168"/>
      <c r="C27" s="168"/>
      <c r="D27" s="20"/>
      <c r="E27" s="198" t="str">
        <f>HYPERLINK("https://www.silveroakwealth.com/","https://www.silveroakwealth.com/")</f>
        <v>https://www.silveroakwealth.com/</v>
      </c>
      <c r="F27" s="196"/>
      <c r="G27" s="197">
        <v>730</v>
      </c>
      <c r="H27" s="175"/>
      <c r="I27" s="198" t="str">
        <f>HYPERLINK("https://quarryhilladvisors.com/","https://quarryhilladvisors.com/")</f>
        <v>https://quarryhilladvisors.com/</v>
      </c>
      <c r="J27" s="196"/>
      <c r="K27" s="197">
        <v>262</v>
      </c>
      <c r="L27" s="175"/>
      <c r="M27" s="198" t="str">
        <f>HYPERLINK("https://www.luriellp.com/services/retirement-planning/","https://www.luriellp.com/services/retirement-planning/")</f>
        <v>https://www.luriellp.com/services/retirement-planning/</v>
      </c>
      <c r="N27" s="196"/>
      <c r="O27" s="200">
        <v>2485</v>
      </c>
      <c r="P27" s="175"/>
      <c r="Q27" s="198" t="str">
        <f>HYPERLINK("https://www.silveroakwealth.com/","https://www.silveroakwealth.com/")</f>
        <v>https://www.silveroakwealth.com/</v>
      </c>
      <c r="R27" s="196"/>
      <c r="S27" s="200">
        <v>730</v>
      </c>
      <c r="T27" s="175"/>
      <c r="U27" s="198" t="str">
        <f>HYPERLINK("https://www.patrickburnslaw.com/estate-planning-and-probate/","https://www.patrickburnslaw.com/estate-planning-and-probate/")</f>
        <v>https://www.patrickburnslaw.com/estate-planning-and-probate/</v>
      </c>
      <c r="V27" s="196"/>
      <c r="W27" s="200">
        <v>1093</v>
      </c>
      <c r="X27" s="20"/>
    </row>
    <row r="28" spans="1:24" ht="78" x14ac:dyDescent="0.4">
      <c r="A28" s="168"/>
      <c r="B28" s="168"/>
      <c r="C28" s="168"/>
      <c r="D28" s="20"/>
      <c r="E28" s="201" t="str">
        <f>HYPERLINK("https://www.boulaygroup.com/services/wealth-management/","https://www.boulaygroup.com/services/wealth-management/")</f>
        <v>https://www.boulaygroup.com/services/wealth-management/</v>
      </c>
      <c r="F28" s="202"/>
      <c r="G28" s="203">
        <v>789</v>
      </c>
      <c r="H28" s="175"/>
      <c r="I28" s="201" t="str">
        <f>HYPERLINK("https://www.brownwealth.com/minneapolis","https://www.brownwealth.com/minneapolis")</f>
        <v>https://www.brownwealth.com/minneapolis</v>
      </c>
      <c r="J28" s="202"/>
      <c r="K28" s="203">
        <v>411</v>
      </c>
      <c r="L28" s="175"/>
      <c r="M28" s="201" t="str">
        <f>HYPERLINK("https://www.advancedretirement.com/","https://www.advancedretirement.com/")</f>
        <v>https://www.advancedretirement.com/</v>
      </c>
      <c r="N28" s="202"/>
      <c r="O28" s="204">
        <v>2152</v>
      </c>
      <c r="P28" s="175"/>
      <c r="Q28" s="201" t="str">
        <f>HYPERLINK("https://www.ullandinvestment.com/","https://www.ullandinvestment.com/")</f>
        <v>https://www.ullandinvestment.com/</v>
      </c>
      <c r="R28" s="202"/>
      <c r="S28" s="204">
        <v>754</v>
      </c>
      <c r="T28" s="175"/>
      <c r="U28" s="201" t="str">
        <f>HYPERLINK("https://stonearchlaw.com/","https://stonearchlaw.com/")</f>
        <v>https://stonearchlaw.com/</v>
      </c>
      <c r="V28" s="202"/>
      <c r="W28" s="204">
        <v>1084</v>
      </c>
      <c r="X28" s="20"/>
    </row>
    <row r="29" spans="1:24" ht="16.5" x14ac:dyDescent="0.35">
      <c r="A29" s="168"/>
      <c r="B29" s="168"/>
      <c r="C29" s="168"/>
      <c r="D29" s="20"/>
      <c r="E29" s="178"/>
      <c r="F29" s="20"/>
      <c r="G29" s="20"/>
      <c r="H29" s="20"/>
      <c r="I29" s="178"/>
      <c r="J29" s="20"/>
      <c r="K29" s="20"/>
      <c r="L29" s="20"/>
      <c r="M29" s="178"/>
      <c r="N29" s="20"/>
      <c r="O29" s="20"/>
      <c r="P29" s="20"/>
      <c r="Q29" s="178"/>
      <c r="R29" s="20"/>
      <c r="S29" s="20"/>
      <c r="T29" s="20"/>
      <c r="U29" s="178"/>
      <c r="V29" s="20"/>
      <c r="W29" s="20"/>
      <c r="X29" s="20"/>
    </row>
    <row r="30" spans="1:24" ht="19.5" x14ac:dyDescent="0.4">
      <c r="A30" s="168"/>
      <c r="B30" s="168"/>
      <c r="C30" s="168"/>
      <c r="D30" s="20"/>
      <c r="E30" s="185" t="s">
        <v>1683</v>
      </c>
      <c r="F30" s="20"/>
      <c r="G30" s="185" t="s">
        <v>1684</v>
      </c>
      <c r="H30" s="20"/>
      <c r="I30" s="185" t="s">
        <v>1683</v>
      </c>
      <c r="J30" s="20"/>
      <c r="K30" s="185" t="s">
        <v>1684</v>
      </c>
      <c r="L30" s="20"/>
      <c r="M30" s="185" t="s">
        <v>1683</v>
      </c>
      <c r="N30" s="20"/>
      <c r="O30" s="185" t="s">
        <v>1684</v>
      </c>
      <c r="P30" s="20"/>
      <c r="Q30" s="185" t="s">
        <v>1683</v>
      </c>
      <c r="R30" s="20"/>
      <c r="S30" s="185" t="s">
        <v>1684</v>
      </c>
      <c r="T30" s="20"/>
      <c r="U30" s="185" t="s">
        <v>1683</v>
      </c>
      <c r="V30" s="20"/>
      <c r="W30" s="185" t="s">
        <v>1684</v>
      </c>
      <c r="X30" s="20"/>
    </row>
    <row r="31" spans="1:24" ht="30" customHeight="1" x14ac:dyDescent="0.4">
      <c r="A31" s="205"/>
      <c r="B31" s="205"/>
      <c r="C31" s="205"/>
      <c r="D31" s="206"/>
      <c r="E31" s="207">
        <v>723</v>
      </c>
      <c r="F31" s="206"/>
      <c r="G31" s="207">
        <v>-440</v>
      </c>
      <c r="H31" s="206"/>
      <c r="I31" s="207">
        <v>1086.3333333333333</v>
      </c>
      <c r="J31" s="206"/>
      <c r="K31" s="207">
        <v>-246.33333333333326</v>
      </c>
      <c r="L31" s="206"/>
      <c r="M31" s="207">
        <v>1948.6666666666667</v>
      </c>
      <c r="N31" s="206"/>
      <c r="O31" s="207">
        <v>-960.66666666666674</v>
      </c>
      <c r="P31" s="206"/>
      <c r="Q31" s="207">
        <v>746.33333333333337</v>
      </c>
      <c r="R31" s="206"/>
      <c r="S31" s="207">
        <v>220.66666666666663</v>
      </c>
      <c r="T31" s="206"/>
      <c r="U31" s="207">
        <v>1079</v>
      </c>
      <c r="V31" s="206"/>
      <c r="W31" s="207">
        <v>-206</v>
      </c>
      <c r="X31" s="206"/>
    </row>
    <row r="32" spans="1:24" ht="16.5" x14ac:dyDescent="0.35">
      <c r="A32" s="168"/>
      <c r="B32" s="168"/>
      <c r="C32" s="168"/>
      <c r="D32" s="20"/>
      <c r="E32" s="178"/>
      <c r="F32" s="20"/>
      <c r="G32" s="20"/>
      <c r="H32" s="20"/>
      <c r="I32" s="20"/>
      <c r="J32" s="20"/>
      <c r="K32" s="20"/>
      <c r="L32" s="20"/>
      <c r="M32" s="20"/>
      <c r="N32" s="20"/>
      <c r="O32" s="20"/>
      <c r="P32" s="20"/>
      <c r="Q32" s="20"/>
      <c r="R32" s="20"/>
      <c r="S32" s="20"/>
      <c r="T32" s="20"/>
      <c r="U32" s="20"/>
      <c r="V32" s="20"/>
      <c r="W32" s="20"/>
      <c r="X32" s="20"/>
    </row>
  </sheetData>
  <mergeCells count="31">
    <mergeCell ref="Q10:S10"/>
    <mergeCell ref="Q6:S6"/>
    <mergeCell ref="U6:W6"/>
    <mergeCell ref="Q7:S7"/>
    <mergeCell ref="U7:W7"/>
    <mergeCell ref="Q8:S8"/>
    <mergeCell ref="U8:W8"/>
    <mergeCell ref="U9:W9"/>
    <mergeCell ref="U10:W10"/>
    <mergeCell ref="E10:G10"/>
    <mergeCell ref="I10:K10"/>
    <mergeCell ref="M10:O10"/>
    <mergeCell ref="I6:K6"/>
    <mergeCell ref="M6:O6"/>
    <mergeCell ref="E7:G7"/>
    <mergeCell ref="I7:K7"/>
    <mergeCell ref="M7:O7"/>
    <mergeCell ref="I8:K8"/>
    <mergeCell ref="M8:O8"/>
    <mergeCell ref="U1:W1"/>
    <mergeCell ref="E6:G6"/>
    <mergeCell ref="E8:G8"/>
    <mergeCell ref="E9:G9"/>
    <mergeCell ref="I9:K9"/>
    <mergeCell ref="M9:O9"/>
    <mergeCell ref="Q9:S9"/>
    <mergeCell ref="A1:C2"/>
    <mergeCell ref="E1:G1"/>
    <mergeCell ref="I1:K1"/>
    <mergeCell ref="M1:O1"/>
    <mergeCell ref="Q1:S1"/>
  </mergeCells>
  <conditionalFormatting sqref="A16:X16 A19:X19">
    <cfRule type="cellIs" dxfId="28" priority="1" operator="equal">
      <formula>"yes"</formula>
    </cfRule>
    <cfRule type="cellIs" dxfId="27" priority="2" operator="equal">
      <formula>"no"</formula>
    </cfRule>
  </conditionalFormatting>
  <conditionalFormatting sqref="A31:X31">
    <cfRule type="containsText" dxfId="26" priority="3" operator="containsText" text="-">
      <formula>NOT(ISERROR(SEARCH(("-"),(A31))))</formula>
    </cfRule>
    <cfRule type="notContainsBlanks" dxfId="25" priority="4">
      <formula>LEN(TRIM(A31))&gt;0</formula>
    </cfRule>
  </conditionalFormatting>
  <conditionalFormatting sqref="G26:G28 K26:K28">
    <cfRule type="colorScale" priority="5">
      <colorScale>
        <cfvo type="min"/>
        <cfvo type="max"/>
        <color rgb="FFFFFFFF"/>
        <color rgb="FF26B8EF"/>
      </colorScale>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Overview</vt:lpstr>
      <vt:lpstr>summary-staging</vt:lpstr>
      <vt:lpstr>rankings-1</vt:lpstr>
      <vt:lpstr>rankings-2</vt:lpstr>
      <vt:lpstr>On-Page SEO</vt:lpstr>
      <vt:lpstr>Redirect Chains</vt:lpstr>
      <vt:lpstr>URL Equity</vt:lpstr>
      <vt:lpstr>Comparison</vt:lpstr>
      <vt:lpstr>Content Audit</vt:lpstr>
      <vt:lpstr>PageSpeedSchema</vt:lpstr>
      <vt:lpstr>Keyword Gap</vt:lpstr>
      <vt:lpstr>Backlink Gap</vt:lpstr>
      <vt:lpstr>Keywords</vt:lpstr>
      <vt:lpstr>SEO Installation</vt:lpstr>
      <vt:lpstr>Redirect Mapping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Hammad ur Rahman Sipra</cp:lastModifiedBy>
  <dcterms:modified xsi:type="dcterms:W3CDTF">2025-07-07T23:40:04Z</dcterms:modified>
</cp:coreProperties>
</file>